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40" windowWidth="18300" windowHeight="13680" activeTab="0"/>
  </bookViews>
  <sheets>
    <sheet name="SIMULADOR" sheetId="1" r:id="rId1"/>
  </sheets>
  <externalReferences>
    <externalReference r:id="rId4"/>
  </externalReferences>
  <definedNames>
    <definedName name="_xlfn.IFERROR" hidden="1">#NAME?</definedName>
    <definedName name="FechaPago">'[1]LEYENDA'!$C$7:$C$12</definedName>
  </definedNames>
  <calcPr fullCalcOnLoad="1"/>
</workbook>
</file>

<file path=xl/sharedStrings.xml><?xml version="1.0" encoding="utf-8"?>
<sst xmlns="http://schemas.openxmlformats.org/spreadsheetml/2006/main" count="59" uniqueCount="50">
  <si>
    <t>TEA</t>
  </si>
  <si>
    <t>Cuota</t>
  </si>
  <si>
    <t>SEGURO DE DESGRAVAMEN</t>
  </si>
  <si>
    <t>Préstamo Senior</t>
  </si>
  <si>
    <t>TEM</t>
  </si>
  <si>
    <t>Plazo</t>
  </si>
  <si>
    <t>Factor</t>
  </si>
  <si>
    <t>Neto</t>
  </si>
  <si>
    <t>Prestamo Ya / CDD</t>
  </si>
  <si>
    <t>Prestamo Senior</t>
  </si>
  <si>
    <t>TCEA</t>
  </si>
  <si>
    <t>PRODUCTO</t>
  </si>
  <si>
    <t>FECHA DE DESEMBOLSO</t>
  </si>
  <si>
    <t>FECHA DE PAGO</t>
  </si>
  <si>
    <t>MONTO OFERTA</t>
  </si>
  <si>
    <t>PLAZO (MESES)</t>
  </si>
  <si>
    <t>CUOTA*(S/)</t>
  </si>
  <si>
    <t>TCEA*</t>
  </si>
  <si>
    <t>PLAZO FINAL ELEGIDO POR EL CLIENTE (MESES)</t>
  </si>
  <si>
    <t>MONTO A LLEVAR</t>
  </si>
  <si>
    <t>DETALLE DE CUOTAS</t>
  </si>
  <si>
    <t>N°</t>
  </si>
  <si>
    <t>Fecha de Vencimiento</t>
  </si>
  <si>
    <t>N° días</t>
  </si>
  <si>
    <t>Capital</t>
  </si>
  <si>
    <t>Desgrav.</t>
  </si>
  <si>
    <t>Protec. De Pagos</t>
  </si>
  <si>
    <t>Amortiz.</t>
  </si>
  <si>
    <t>Interés</t>
  </si>
  <si>
    <t>Consolidación de Deuda</t>
  </si>
  <si>
    <t>SEGURO DE PROTECCIÓN DE PAGOS</t>
  </si>
  <si>
    <t>TED</t>
  </si>
  <si>
    <t xml:space="preserve">N° </t>
  </si>
  <si>
    <t>inicio</t>
  </si>
  <si>
    <t>fin</t>
  </si>
  <si>
    <t>N° Días</t>
  </si>
  <si>
    <t>Desgravamen</t>
  </si>
  <si>
    <t>PP</t>
  </si>
  <si>
    <t>EECC</t>
  </si>
  <si>
    <t>Amortización</t>
  </si>
  <si>
    <t>TIR</t>
  </si>
  <si>
    <t xml:space="preserve">Cuota </t>
  </si>
  <si>
    <t>Suma Factores</t>
  </si>
  <si>
    <t>Días Acum</t>
  </si>
  <si>
    <t>Préstamo Efectivo</t>
  </si>
  <si>
    <t>Cuota Total</t>
  </si>
  <si>
    <t xml:space="preserve"> </t>
  </si>
  <si>
    <t>TIR.NO.PER</t>
  </si>
  <si>
    <t>SIMULADOR PRÉSTAMO EFECTIVO - CONSOLIDACIÓN DE DEUDA</t>
  </si>
  <si>
    <t>TABLA DE FACTORES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</si>
</sst>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&quot;S/.&quot;\ * #,##0_);_(&quot;S/.&quot;\ * \(#,##0\);_(&quot;S/.&quot;\ * &quot;-&quot;_);_(@_)"/>
    <numFmt numFmtId="179" formatCode="_(* #,##0_);_(* \(#,##0\);_(* &quot;-&quot;_);_(@_)"/>
    <numFmt numFmtId="180" formatCode="_(&quot;S/.&quot;\ * #,##0.00_);_(&quot;S/.&quot;\ * \(#,##0.00\);_(&quot;S/.&quot;\ * &quot;-&quot;??_);_(@_)"/>
    <numFmt numFmtId="181" formatCode="_(* #,##0.00_);_(* \(#,##0.00\);_(* &quot;-&quot;??_);_(@_)"/>
    <numFmt numFmtId="182" formatCode="0.0000%"/>
    <numFmt numFmtId="183" formatCode="0.000%"/>
    <numFmt numFmtId="184" formatCode="0.0"/>
    <numFmt numFmtId="185" formatCode="0.000000E+00;\⽬"/>
    <numFmt numFmtId="186" formatCode="_ * #,##0_ ;_ * \-#,##0_ ;_ * &quot;-&quot;??_ ;_ @_ "/>
    <numFmt numFmtId="187" formatCode="_ * #,##0.0000000_ ;_ * \-#,##0.0000000_ ;_ * &quot;-&quot;???????_ ;_ @_ "/>
    <numFmt numFmtId="188" formatCode="0.00000%"/>
    <numFmt numFmtId="189" formatCode="#,##0.0"/>
    <numFmt numFmtId="190" formatCode="_(* #,##0_);_(* \(#,##0\);_(* &quot;-&quot;??_);_(@_)"/>
    <numFmt numFmtId="191" formatCode="0.0000000"/>
    <numFmt numFmtId="192" formatCode="&quot;S/&quot;\ #,##0"/>
    <numFmt numFmtId="193" formatCode="&quot;S/ &quot;#,##0"/>
    <numFmt numFmtId="194" formatCode="0.000000%"/>
    <numFmt numFmtId="195" formatCode="0.0%"/>
    <numFmt numFmtId="196" formatCode="_ * #,##0.000_ ;_ * \-#,##0.000_ ;_ * &quot;-&quot;??_ ;_ @_ "/>
    <numFmt numFmtId="197" formatCode="_ * #,##0.0000_ ;_ * \-#,##0.0000_ ;_ * &quot;-&quot;??_ ;_ @_ "/>
    <numFmt numFmtId="198" formatCode="[$-280A]dddd\,\ d\ &quot;de&quot;\ mmmm\ &quot;de&quot;\ yyyy"/>
    <numFmt numFmtId="199" formatCode="_(* #,##0.0_);_(* \(#,##0.0\);_(* &quot;-&quot;??_);_(@_)"/>
    <numFmt numFmtId="200" formatCode="0.00000"/>
    <numFmt numFmtId="201" formatCode="0.0000"/>
    <numFmt numFmtId="202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36"/>
      <name val="Arial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entury Gothic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15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9" fillId="33" borderId="20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/>
    </xf>
    <xf numFmtId="189" fontId="6" fillId="33" borderId="0" xfId="0" applyNumberFormat="1" applyFont="1" applyFill="1" applyBorder="1" applyAlignment="1">
      <alignment/>
    </xf>
    <xf numFmtId="189" fontId="6" fillId="33" borderId="0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89" fontId="6" fillId="33" borderId="21" xfId="0" applyNumberFormat="1" applyFont="1" applyFill="1" applyBorder="1" applyAlignment="1">
      <alignment/>
    </xf>
    <xf numFmtId="189" fontId="6" fillId="33" borderId="0" xfId="0" applyNumberFormat="1" applyFont="1" applyFill="1" applyAlignment="1">
      <alignment/>
    </xf>
    <xf numFmtId="0" fontId="50" fillId="0" borderId="0" xfId="0" applyFont="1" applyBorder="1" applyAlignment="1">
      <alignment horizontal="center" vertical="center"/>
    </xf>
    <xf numFmtId="183" fontId="51" fillId="0" borderId="0" xfId="0" applyNumberFormat="1" applyFont="1" applyBorder="1" applyAlignment="1">
      <alignment horizontal="center" vertical="center"/>
    </xf>
    <xf numFmtId="183" fontId="50" fillId="4" borderId="0" xfId="0" applyNumberFormat="1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4" fontId="51" fillId="4" borderId="0" xfId="0" applyNumberFormat="1" applyFont="1" applyFill="1" applyBorder="1" applyAlignment="1">
      <alignment horizontal="center" vertical="center"/>
    </xf>
    <xf numFmtId="2" fontId="50" fillId="4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14" fontId="51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182" fontId="50" fillId="0" borderId="0" xfId="55" applyNumberFormat="1" applyFont="1" applyBorder="1" applyAlignment="1">
      <alignment horizontal="center" vertical="center"/>
    </xf>
    <xf numFmtId="201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5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51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2" fontId="4" fillId="0" borderId="26" xfId="0" applyNumberFormat="1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6" fillId="33" borderId="29" xfId="0" applyNumberFormat="1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>
      <alignment horizontal="center" vertical="center"/>
    </xf>
    <xf numFmtId="14" fontId="6" fillId="33" borderId="28" xfId="0" applyNumberFormat="1" applyFont="1" applyFill="1" applyBorder="1" applyAlignment="1">
      <alignment horizontal="center" vertical="center"/>
    </xf>
    <xf numFmtId="14" fontId="6" fillId="33" borderId="29" xfId="0" applyNumberFormat="1" applyFont="1" applyFill="1" applyBorder="1" applyAlignment="1">
      <alignment horizontal="center" vertical="center"/>
    </xf>
    <xf numFmtId="14" fontId="6" fillId="33" borderId="30" xfId="0" applyNumberFormat="1" applyFont="1" applyFill="1" applyBorder="1" applyAlignment="1">
      <alignment horizontal="center" vertical="center"/>
    </xf>
    <xf numFmtId="14" fontId="6" fillId="33" borderId="31" xfId="0" applyNumberFormat="1" applyFont="1" applyFill="1" applyBorder="1" applyAlignment="1">
      <alignment horizontal="center" vertical="center"/>
    </xf>
    <xf numFmtId="14" fontId="6" fillId="33" borderId="32" xfId="0" applyNumberFormat="1" applyFont="1" applyFill="1" applyBorder="1" applyAlignment="1">
      <alignment horizontal="center" vertical="center"/>
    </xf>
    <xf numFmtId="14" fontId="6" fillId="33" borderId="33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3" fontId="6" fillId="33" borderId="31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10" fontId="6" fillId="33" borderId="28" xfId="55" applyNumberFormat="1" applyFont="1" applyFill="1" applyBorder="1" applyAlignment="1">
      <alignment horizontal="center" vertical="center"/>
    </xf>
    <xf numFmtId="10" fontId="6" fillId="33" borderId="29" xfId="55" applyNumberFormat="1" applyFont="1" applyFill="1" applyBorder="1" applyAlignment="1">
      <alignment horizontal="center" vertical="center"/>
    </xf>
    <xf numFmtId="10" fontId="6" fillId="33" borderId="30" xfId="55" applyNumberFormat="1" applyFont="1" applyFill="1" applyBorder="1" applyAlignment="1">
      <alignment horizontal="center" vertical="center"/>
    </xf>
    <xf numFmtId="10" fontId="6" fillId="33" borderId="31" xfId="55" applyNumberFormat="1" applyFont="1" applyFill="1" applyBorder="1" applyAlignment="1">
      <alignment horizontal="center" vertical="center"/>
    </xf>
    <xf numFmtId="10" fontId="6" fillId="33" borderId="32" xfId="55" applyNumberFormat="1" applyFont="1" applyFill="1" applyBorder="1" applyAlignment="1">
      <alignment horizontal="center" vertical="center"/>
    </xf>
    <xf numFmtId="10" fontId="6" fillId="33" borderId="33" xfId="55" applyNumberFormat="1" applyFont="1" applyFill="1" applyBorder="1" applyAlignment="1">
      <alignment horizontal="center" vertical="center"/>
    </xf>
    <xf numFmtId="10" fontId="6" fillId="33" borderId="28" xfId="0" applyNumberFormat="1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 wrapText="1"/>
    </xf>
    <xf numFmtId="3" fontId="6" fillId="33" borderId="26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189" fontId="6" fillId="33" borderId="18" xfId="0" applyNumberFormat="1" applyFont="1" applyFill="1" applyBorder="1" applyAlignment="1">
      <alignment horizontal="center"/>
    </xf>
    <xf numFmtId="189" fontId="6" fillId="33" borderId="19" xfId="0" applyNumberFormat="1" applyFont="1" applyFill="1" applyBorder="1" applyAlignment="1">
      <alignment horizontal="center"/>
    </xf>
    <xf numFmtId="14" fontId="6" fillId="33" borderId="24" xfId="0" applyNumberFormat="1" applyFont="1" applyFill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189" fontId="6" fillId="33" borderId="24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6" fillId="33" borderId="25" xfId="0" applyNumberFormat="1" applyFont="1" applyFill="1" applyBorder="1" applyAlignment="1">
      <alignment horizontal="center"/>
    </xf>
    <xf numFmtId="3" fontId="6" fillId="33" borderId="25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189" fontId="6" fillId="33" borderId="25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123825</xdr:rowOff>
    </xdr:from>
    <xdr:to>
      <xdr:col>14</xdr:col>
      <xdr:colOff>419100</xdr:colOff>
      <xdr:row>2</xdr:row>
      <xdr:rowOff>76200</xdr:rowOff>
    </xdr:to>
    <xdr:pic>
      <xdr:nvPicPr>
        <xdr:cNvPr id="1" name="1 Imagen" descr="C:\Users\rubillus\AppData\Local\Microsoft\Windows\INetCache\Content.Word\barrr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0"/>
          <a:ext cx="7581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3</xdr:row>
      <xdr:rowOff>28575</xdr:rowOff>
    </xdr:from>
    <xdr:to>
      <xdr:col>18</xdr:col>
      <xdr:colOff>476250</xdr:colOff>
      <xdr:row>4</xdr:row>
      <xdr:rowOff>161925</xdr:rowOff>
    </xdr:to>
    <xdr:pic>
      <xdr:nvPicPr>
        <xdr:cNvPr id="2" name="2 Imagen" descr="C:\Users\rubillus\AppData\Local\Microsoft\Windows\INetCache\Content.Word\BR_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533400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ULADOR%20TCEA%20CD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ULADOR"/>
      <sheetName val="SIMULADOR2"/>
      <sheetName val="CALCULOS"/>
      <sheetName val="TCEA"/>
      <sheetName val="LEYENDA"/>
    </sheetNames>
    <sheetDataSet>
      <sheetData sheetId="4">
        <row r="7">
          <cell r="C7">
            <v>1</v>
          </cell>
        </row>
        <row r="8">
          <cell r="C8">
            <v>5</v>
          </cell>
        </row>
        <row r="9">
          <cell r="C9">
            <v>10</v>
          </cell>
        </row>
        <row r="10">
          <cell r="C10">
            <v>15</v>
          </cell>
        </row>
        <row r="11">
          <cell r="C11">
            <v>20</v>
          </cell>
        </row>
        <row r="12">
          <cell r="C1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showGridLines="0" showRowColHeaders="0" tabSelected="1" zoomScale="90" zoomScaleNormal="90" zoomScalePageLayoutView="0" workbookViewId="0" topLeftCell="A1">
      <selection activeCell="K9" sqref="K9"/>
    </sheetView>
  </sheetViews>
  <sheetFormatPr defaultColWidth="0" defaultRowHeight="12.75" zeroHeight="1"/>
  <cols>
    <col min="1" max="1" width="5.7109375" style="0" customWidth="1"/>
    <col min="2" max="2" width="5.421875" style="0" customWidth="1"/>
    <col min="3" max="6" width="7.421875" style="0" customWidth="1"/>
    <col min="7" max="9" width="11.28125" style="0" customWidth="1"/>
    <col min="10" max="20" width="7.421875" style="0" customWidth="1"/>
    <col min="21" max="30" width="0" style="0" hidden="1" customWidth="1"/>
    <col min="31" max="31" width="18.28125" style="0" hidden="1" customWidth="1"/>
    <col min="32" max="34" width="0" style="0" hidden="1" customWidth="1"/>
    <col min="35" max="35" width="11.421875" style="0" hidden="1" customWidth="1"/>
    <col min="36" max="37" width="7.421875" style="0" hidden="1" customWidth="1"/>
    <col min="38" max="16384" width="0" style="0" hidden="1" customWidth="1"/>
  </cols>
  <sheetData>
    <row r="1" spans="1:20" ht="12.75">
      <c r="A1" s="14"/>
      <c r="B1" s="14"/>
      <c r="C1" s="15"/>
      <c r="D1" s="14"/>
      <c r="E1" s="14"/>
      <c r="F1" s="16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43" ht="13.5">
      <c r="A2" s="14"/>
      <c r="B2" s="14"/>
      <c r="C2" s="15"/>
      <c r="D2" s="14"/>
      <c r="E2" s="14"/>
      <c r="F2" s="1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AA2" s="50" t="s">
        <v>31</v>
      </c>
      <c r="AB2" s="51">
        <f>+(1+AB4)^(1/360)-1</f>
        <v>0.0004108760427414815</v>
      </c>
      <c r="AM2" s="53" t="s">
        <v>40</v>
      </c>
      <c r="AN2" s="60">
        <f>+(1+AN3)^(1/12)-1</f>
        <v>0.014813675113940494</v>
      </c>
      <c r="AP2" s="70"/>
      <c r="AQ2" s="71"/>
    </row>
    <row r="3" spans="1:40" ht="13.5">
      <c r="A3" s="14"/>
      <c r="B3" s="14"/>
      <c r="C3" s="15"/>
      <c r="D3" s="14"/>
      <c r="E3" s="14"/>
      <c r="F3" s="1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AA3" s="50" t="s">
        <v>4</v>
      </c>
      <c r="AB3" s="51">
        <f>+G23</f>
        <v>0.0124</v>
      </c>
      <c r="AM3" s="53" t="s">
        <v>10</v>
      </c>
      <c r="AN3" s="60">
        <f>VLOOKUP($G$30,$AA$8:$AS$56,19,0)</f>
        <v>0.19298705458641055</v>
      </c>
    </row>
    <row r="4" spans="1:40" ht="13.5" customHeight="1">
      <c r="A4" s="14"/>
      <c r="B4" s="88" t="s">
        <v>48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14"/>
      <c r="R4" s="14"/>
      <c r="S4" s="14"/>
      <c r="T4" s="14"/>
      <c r="AA4" s="50" t="s">
        <v>0</v>
      </c>
      <c r="AB4" s="52">
        <f>+G26</f>
        <v>0.15937955571773355</v>
      </c>
      <c r="AM4" s="54"/>
      <c r="AN4" s="59"/>
    </row>
    <row r="5" spans="1:53" ht="13.5" customHeight="1">
      <c r="A5" s="14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14"/>
      <c r="R5" s="14"/>
      <c r="S5" s="14"/>
      <c r="T5" s="14"/>
      <c r="AJ5" s="50" t="s">
        <v>45</v>
      </c>
      <c r="AK5" s="59">
        <f>+AN5+SUM(AF9:AH9)</f>
        <v>929.6134324713863</v>
      </c>
      <c r="AM5" s="53" t="s">
        <v>41</v>
      </c>
      <c r="AN5" s="59">
        <f>+AE9/AN6</f>
        <v>914.6134324713863</v>
      </c>
      <c r="AU5" s="136" t="s">
        <v>49</v>
      </c>
      <c r="AV5" s="136"/>
      <c r="AW5" s="136"/>
      <c r="AX5" s="136"/>
      <c r="AY5" s="136"/>
      <c r="AZ5" s="136"/>
      <c r="BA5" s="136"/>
    </row>
    <row r="6" spans="1:53" ht="13.5">
      <c r="A6" s="14"/>
      <c r="B6" s="14"/>
      <c r="C6" s="15"/>
      <c r="D6" s="14"/>
      <c r="E6" s="14"/>
      <c r="F6" s="16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AC6" s="66">
        <f>+_XLL.FIN.MES($G$11,0)+$G$14</f>
        <v>43590</v>
      </c>
      <c r="AD6" s="65">
        <f>+AC6-AB9</f>
        <v>30</v>
      </c>
      <c r="AM6" s="53" t="s">
        <v>42</v>
      </c>
      <c r="AN6" s="61">
        <f>SUM(AN9:AN56)</f>
        <v>10.933580947940921</v>
      </c>
      <c r="AU6" s="136"/>
      <c r="AV6" s="136"/>
      <c r="AW6" s="136"/>
      <c r="AX6" s="136"/>
      <c r="AY6" s="136"/>
      <c r="AZ6" s="136"/>
      <c r="BA6" s="136"/>
    </row>
    <row r="7" spans="1:53" ht="13.5">
      <c r="A7" s="14"/>
      <c r="B7" s="17"/>
      <c r="C7" s="18"/>
      <c r="D7" s="19"/>
      <c r="E7" s="19"/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1"/>
      <c r="T7" s="14"/>
      <c r="X7">
        <v>12</v>
      </c>
      <c r="AM7" s="54"/>
      <c r="AN7" s="54"/>
      <c r="AR7" s="62"/>
      <c r="AS7" s="68" t="s">
        <v>47</v>
      </c>
      <c r="AU7" s="1" t="s">
        <v>8</v>
      </c>
      <c r="AV7" s="11"/>
      <c r="AW7" s="1"/>
      <c r="AX7" s="1"/>
      <c r="AY7" s="12" t="s">
        <v>9</v>
      </c>
      <c r="AZ7" s="10"/>
      <c r="BA7" s="10"/>
    </row>
    <row r="8" spans="1:53" ht="13.5">
      <c r="A8" s="14"/>
      <c r="B8" s="22"/>
      <c r="C8" s="73" t="s">
        <v>11</v>
      </c>
      <c r="D8" s="73"/>
      <c r="E8" s="73"/>
      <c r="F8" s="73"/>
      <c r="G8" s="75" t="s">
        <v>44</v>
      </c>
      <c r="H8" s="76"/>
      <c r="I8" s="77"/>
      <c r="J8" s="23"/>
      <c r="K8" s="23"/>
      <c r="L8" s="14"/>
      <c r="M8" s="14"/>
      <c r="N8" s="14"/>
      <c r="O8" s="14"/>
      <c r="P8" s="14"/>
      <c r="Q8" s="14"/>
      <c r="R8" s="14"/>
      <c r="S8" s="24"/>
      <c r="T8" s="14"/>
      <c r="U8" s="68" t="s">
        <v>44</v>
      </c>
      <c r="X8">
        <f>+X7+1</f>
        <v>13</v>
      </c>
      <c r="AA8" s="53" t="s">
        <v>32</v>
      </c>
      <c r="AB8" s="53" t="s">
        <v>33</v>
      </c>
      <c r="AC8" s="53" t="s">
        <v>34</v>
      </c>
      <c r="AD8" s="53" t="s">
        <v>35</v>
      </c>
      <c r="AE8" s="53" t="s">
        <v>24</v>
      </c>
      <c r="AF8" s="53" t="s">
        <v>36</v>
      </c>
      <c r="AG8" s="53" t="s">
        <v>37</v>
      </c>
      <c r="AH8" s="53" t="s">
        <v>38</v>
      </c>
      <c r="AI8" s="53" t="s">
        <v>39</v>
      </c>
      <c r="AJ8" s="53" t="s">
        <v>28</v>
      </c>
      <c r="AK8" s="53" t="s">
        <v>1</v>
      </c>
      <c r="AM8" s="53" t="s">
        <v>43</v>
      </c>
      <c r="AN8" s="53" t="s">
        <v>6</v>
      </c>
      <c r="AQ8" s="56">
        <f>+-AE9</f>
        <v>-10000</v>
      </c>
      <c r="AR8" s="69">
        <f>+G11</f>
        <v>43560</v>
      </c>
      <c r="AU8" s="10" t="s">
        <v>7</v>
      </c>
      <c r="AV8" s="3">
        <f>G17/AV34</f>
        <v>5000</v>
      </c>
      <c r="AW8" s="2"/>
      <c r="AX8" s="2"/>
      <c r="AY8" s="2"/>
      <c r="AZ8" s="3">
        <f>G17/AV34</f>
        <v>5000</v>
      </c>
      <c r="BA8" s="2"/>
    </row>
    <row r="9" spans="1:53" ht="13.5">
      <c r="A9" s="14"/>
      <c r="B9" s="22"/>
      <c r="C9" s="74"/>
      <c r="D9" s="74"/>
      <c r="E9" s="74"/>
      <c r="F9" s="74"/>
      <c r="G9" s="78"/>
      <c r="H9" s="79"/>
      <c r="I9" s="80"/>
      <c r="J9" s="23"/>
      <c r="K9" s="23"/>
      <c r="L9" s="14"/>
      <c r="M9" s="14"/>
      <c r="N9" s="14"/>
      <c r="O9" s="14"/>
      <c r="P9" s="14"/>
      <c r="Q9" s="14"/>
      <c r="R9" s="14"/>
      <c r="S9" s="24"/>
      <c r="T9" s="14"/>
      <c r="U9" s="68" t="s">
        <v>3</v>
      </c>
      <c r="X9">
        <f aca="true" t="shared" si="0" ref="X9:X43">+X8+1</f>
        <v>14</v>
      </c>
      <c r="AA9" s="54">
        <v>1</v>
      </c>
      <c r="AB9" s="55">
        <f>IF(AA9&lt;=$G$30,G11,"")</f>
        <v>43560</v>
      </c>
      <c r="AC9" s="55">
        <f>IF(AA9&lt;=$G$30,IF(AD6&gt;31,_XLL.FIN.MES($G$11,0)+$G$14,_XLL.FIN.MES($G$11,1)+$G$14),"")</f>
        <v>43621</v>
      </c>
      <c r="AD9" s="63">
        <f>_xlfn.IFERROR(AC9-AB9,"")</f>
        <v>61</v>
      </c>
      <c r="AE9" s="56">
        <f>IF(AA9&lt;=$G$34,G34,"")</f>
        <v>10000</v>
      </c>
      <c r="AF9" s="67">
        <f>IF(AA9&lt;=$G$30,IF($G$8="Préstamo Efectivo",10,IF($G$8="Préstamo Senior",20,IF($G$8="Consolidación de Deuda",20))),"")</f>
        <v>10</v>
      </c>
      <c r="AG9" s="54">
        <f>IF(AA9&lt;=$G$30,IF($G$8="Préstamo Efectivo",5,IF($G$8="Préstamo Senior",0,IF($G$8="Consolidación de Deuda",0))),"")</f>
        <v>5</v>
      </c>
      <c r="AH9" s="54"/>
      <c r="AI9" s="57">
        <f>IF(AA9&lt;=$G$30,AK9-AJ9-SUM(AF9:AH9),"")</f>
        <v>660.8645430224049</v>
      </c>
      <c r="AJ9" s="57">
        <f>IF(AA9&lt;=$G$30,AE9*((1+$AB$2)^AD9-1),"")</f>
        <v>253.74888944898143</v>
      </c>
      <c r="AK9" s="57">
        <f>IF(AA9&lt;=$G$30,$AN$5+SUM(AF9:AH9),"")</f>
        <v>929.6134324713863</v>
      </c>
      <c r="AM9" s="54">
        <f>+AD9</f>
        <v>61</v>
      </c>
      <c r="AN9" s="61">
        <f>_xlfn.IFERROR((1/(1+$AB$2)^AM9),"")</f>
        <v>0.9752530618620779</v>
      </c>
      <c r="AO9" s="68" t="s">
        <v>46</v>
      </c>
      <c r="AQ9" s="57">
        <f aca="true" t="shared" si="1" ref="AQ9:AQ56">+AK9</f>
        <v>929.6134324713863</v>
      </c>
      <c r="AR9" s="69">
        <f>+AC9</f>
        <v>43621</v>
      </c>
      <c r="AS9">
        <f>IF(AA9&lt;=$G$30,_XLL.TIR.NO.PER($AQ$8:AQ9,$AR$8:AR9),"")</f>
        <v>-0.9999993289924305</v>
      </c>
      <c r="AU9" s="10" t="s">
        <v>5</v>
      </c>
      <c r="AV9" s="10" t="s">
        <v>6</v>
      </c>
      <c r="AW9" s="2"/>
      <c r="AX9" s="2"/>
      <c r="AY9" s="10" t="s">
        <v>5</v>
      </c>
      <c r="AZ9" s="10" t="s">
        <v>6</v>
      </c>
      <c r="BA9" s="2"/>
    </row>
    <row r="10" spans="1:53" ht="13.5">
      <c r="A10" s="14"/>
      <c r="B10" s="22"/>
      <c r="C10" s="25"/>
      <c r="D10" s="23"/>
      <c r="E10" s="23"/>
      <c r="F10" s="26"/>
      <c r="G10" s="23"/>
      <c r="H10" s="23"/>
      <c r="I10" s="23"/>
      <c r="J10" s="23"/>
      <c r="K10" s="23"/>
      <c r="L10" s="14"/>
      <c r="M10" s="14"/>
      <c r="N10" s="14"/>
      <c r="O10" s="14"/>
      <c r="P10" s="14"/>
      <c r="Q10" s="14"/>
      <c r="R10" s="14"/>
      <c r="S10" s="24"/>
      <c r="T10" s="14"/>
      <c r="U10" s="68" t="s">
        <v>29</v>
      </c>
      <c r="X10">
        <f t="shared" si="0"/>
        <v>15</v>
      </c>
      <c r="AA10" s="54">
        <f>+AA9+1</f>
        <v>2</v>
      </c>
      <c r="AB10" s="55">
        <f>IF(AA10&lt;=$G$30,AC9,"")</f>
        <v>43621</v>
      </c>
      <c r="AC10" s="55">
        <f>IF(AA10&lt;=$G$30,_XLL.FIN.MES(AC9,0)+$G$14,"")</f>
        <v>43651</v>
      </c>
      <c r="AD10" s="63">
        <f>_xlfn.IFERROR(AC10-AB10,"")</f>
        <v>30</v>
      </c>
      <c r="AE10" s="57">
        <f>IF(AA10&lt;=$G$30,AE9-AI9,"")</f>
        <v>9339.135456977596</v>
      </c>
      <c r="AF10" s="67">
        <f aca="true" t="shared" si="2" ref="AF10:AF56">IF(AA10&lt;=$G$30,IF($G$8="Préstamo Efectivo",10,IF($G$8="Préstamo Senior",20,IF($G$8="Consolidación de Deuda",20))),"")</f>
        <v>10</v>
      </c>
      <c r="AG10" s="54">
        <f aca="true" t="shared" si="3" ref="AG10:AG56">IF(AA10&lt;=$G$30,IF($G$8="Préstamo Efectivo",5,IF($G$8="Préstamo Senior",0,IF($G$8="Consolidación de Deuda",0))),"")</f>
        <v>5</v>
      </c>
      <c r="AH10" s="54"/>
      <c r="AI10" s="57">
        <f aca="true" t="shared" si="4" ref="AI10:AI56">IF(AA10&lt;=$G$30,AK10-AJ10-SUM(AF10:AH10),"")</f>
        <v>798.8081528048831</v>
      </c>
      <c r="AJ10" s="57">
        <f aca="true" t="shared" si="5" ref="AJ10:AJ56">IF(AA10&lt;=$G$30,AE10*((1+$AB$2)^AD10-1),"")</f>
        <v>115.80527966650321</v>
      </c>
      <c r="AK10" s="57">
        <f aca="true" t="shared" si="6" ref="AK10:AK56">IF(AA10&lt;=$G$30,$AN$5+SUM(AF10:AH10),"")</f>
        <v>929.6134324713863</v>
      </c>
      <c r="AM10" s="54">
        <f>+_xlfn.IFERROR(AD10+AM9,"")</f>
        <v>91</v>
      </c>
      <c r="AN10" s="61">
        <f aca="true" t="shared" si="7" ref="AN10:AN56">_xlfn.IFERROR((1/(1+$AB$2)^AM10),"")</f>
        <v>0.9633080421395489</v>
      </c>
      <c r="AQ10" s="57">
        <f t="shared" si="1"/>
        <v>929.6134324713863</v>
      </c>
      <c r="AR10" s="69">
        <f aca="true" t="shared" si="8" ref="AR10:AR56">+AC10</f>
        <v>43651</v>
      </c>
      <c r="AS10">
        <f>IF(AA10&lt;=$G$30,_XLL.TIR.NO.PER($AQ$8:AQ10,$AR$8:AR10),"")</f>
        <v>-0.9996044672094284</v>
      </c>
      <c r="AU10" s="4">
        <v>12</v>
      </c>
      <c r="AV10" s="5">
        <v>1</v>
      </c>
      <c r="AW10" s="2">
        <f>+AV10*$AV$8</f>
        <v>5000</v>
      </c>
      <c r="AX10" s="2"/>
      <c r="AY10" s="4">
        <v>12</v>
      </c>
      <c r="AZ10" s="72">
        <v>1</v>
      </c>
      <c r="BA10" s="13">
        <f>+AZ10*$AZ$8</f>
        <v>5000</v>
      </c>
    </row>
    <row r="11" spans="1:53" ht="13.5">
      <c r="A11" s="14"/>
      <c r="B11" s="22"/>
      <c r="C11" s="73" t="s">
        <v>12</v>
      </c>
      <c r="D11" s="73"/>
      <c r="E11" s="73"/>
      <c r="F11" s="73"/>
      <c r="G11" s="81">
        <f ca="1">TODAY()</f>
        <v>43560</v>
      </c>
      <c r="H11" s="82"/>
      <c r="I11" s="83"/>
      <c r="J11" s="23"/>
      <c r="K11" s="23"/>
      <c r="L11" s="87" t="s">
        <v>2</v>
      </c>
      <c r="M11" s="87"/>
      <c r="N11" s="87"/>
      <c r="O11" s="87"/>
      <c r="P11" s="89">
        <f>+AF9</f>
        <v>10</v>
      </c>
      <c r="Q11" s="90"/>
      <c r="R11" s="91"/>
      <c r="S11" s="24"/>
      <c r="T11" s="14"/>
      <c r="X11">
        <f t="shared" si="0"/>
        <v>16</v>
      </c>
      <c r="AA11" s="54">
        <f aca="true" t="shared" si="9" ref="AA11:AA56">+AA10+1</f>
        <v>3</v>
      </c>
      <c r="AB11" s="55">
        <f aca="true" t="shared" si="10" ref="AB11:AB56">IF(AA11&lt;=$G$30,AC10,"")</f>
        <v>43651</v>
      </c>
      <c r="AC11" s="55">
        <f aca="true" t="shared" si="11" ref="AC11:AC56">IF(AA11&lt;=$G$30,_XLL.FIN.MES(AC10,0)+$G$14,"")</f>
        <v>43682</v>
      </c>
      <c r="AD11" s="63">
        <f aca="true" t="shared" si="12" ref="AD11:AD56">_xlfn.IFERROR(AC11-AB11,"")</f>
        <v>31</v>
      </c>
      <c r="AE11" s="57">
        <f aca="true" t="shared" si="13" ref="AE11:AE56">IF(AA11&lt;=$G$30,AE10-AI10,"")</f>
        <v>8540.327304172713</v>
      </c>
      <c r="AF11" s="67">
        <f t="shared" si="2"/>
        <v>10</v>
      </c>
      <c r="AG11" s="54">
        <f t="shared" si="3"/>
        <v>5</v>
      </c>
      <c r="AH11" s="54"/>
      <c r="AI11" s="57">
        <f t="shared" si="4"/>
        <v>805.1608462162108</v>
      </c>
      <c r="AJ11" s="57">
        <f t="shared" si="5"/>
        <v>109.45258625517559</v>
      </c>
      <c r="AK11" s="57">
        <f t="shared" si="6"/>
        <v>929.6134324713863</v>
      </c>
      <c r="AM11" s="54">
        <f aca="true" t="shared" si="14" ref="AM11:AM56">+_xlfn.IFERROR(AD11+AM10,"")</f>
        <v>122</v>
      </c>
      <c r="AN11" s="61">
        <f t="shared" si="7"/>
        <v>0.9511185346713577</v>
      </c>
      <c r="AQ11" s="57">
        <f t="shared" si="1"/>
        <v>929.6134324713863</v>
      </c>
      <c r="AR11" s="69">
        <f t="shared" si="8"/>
        <v>43682</v>
      </c>
      <c r="AS11">
        <f>IF(AA11&lt;=$G$30,_XLL.TIR.NO.PER($AQ$8:AQ11,$AR$8:AR11),"")</f>
        <v>-0.9924320290796459</v>
      </c>
      <c r="AU11" s="6">
        <v>13</v>
      </c>
      <c r="AV11" s="72">
        <v>1.02</v>
      </c>
      <c r="AW11" s="2">
        <f aca="true" t="shared" si="15" ref="AW11:AW46">+AV11*$AV$8</f>
        <v>5100</v>
      </c>
      <c r="AX11" s="2"/>
      <c r="AY11" s="6">
        <v>13</v>
      </c>
      <c r="AZ11" s="72">
        <v>1.0833333333333333</v>
      </c>
      <c r="BA11" s="13">
        <f aca="true" t="shared" si="16" ref="BA11:BA22">+AZ11*$AZ$8</f>
        <v>5416.666666666666</v>
      </c>
    </row>
    <row r="12" spans="1:53" ht="13.5">
      <c r="A12" s="14"/>
      <c r="B12" s="22"/>
      <c r="C12" s="74"/>
      <c r="D12" s="74"/>
      <c r="E12" s="74"/>
      <c r="F12" s="74"/>
      <c r="G12" s="84"/>
      <c r="H12" s="85"/>
      <c r="I12" s="86"/>
      <c r="J12" s="23"/>
      <c r="K12" s="23"/>
      <c r="L12" s="87"/>
      <c r="M12" s="87"/>
      <c r="N12" s="87"/>
      <c r="O12" s="87"/>
      <c r="P12" s="92"/>
      <c r="Q12" s="93"/>
      <c r="R12" s="94"/>
      <c r="S12" s="24"/>
      <c r="T12" s="14"/>
      <c r="X12">
        <f t="shared" si="0"/>
        <v>17</v>
      </c>
      <c r="AA12" s="54">
        <f t="shared" si="9"/>
        <v>4</v>
      </c>
      <c r="AB12" s="55">
        <f t="shared" si="10"/>
        <v>43682</v>
      </c>
      <c r="AC12" s="55">
        <f t="shared" si="11"/>
        <v>43713</v>
      </c>
      <c r="AD12" s="63">
        <f t="shared" si="12"/>
        <v>31</v>
      </c>
      <c r="AE12" s="57">
        <f t="shared" si="13"/>
        <v>7735.166457956502</v>
      </c>
      <c r="AF12" s="67">
        <f t="shared" si="2"/>
        <v>10</v>
      </c>
      <c r="AG12" s="54">
        <f t="shared" si="3"/>
        <v>5</v>
      </c>
      <c r="AH12" s="54"/>
      <c r="AI12" s="57">
        <f t="shared" si="4"/>
        <v>815.4797641957023</v>
      </c>
      <c r="AJ12" s="57">
        <f t="shared" si="5"/>
        <v>99.13366827568409</v>
      </c>
      <c r="AK12" s="57">
        <f t="shared" si="6"/>
        <v>929.6134324713863</v>
      </c>
      <c r="AM12" s="54">
        <f t="shared" si="14"/>
        <v>153</v>
      </c>
      <c r="AN12" s="61">
        <f t="shared" si="7"/>
        <v>0.9390832707948497</v>
      </c>
      <c r="AQ12" s="57">
        <f t="shared" si="1"/>
        <v>929.6134324713863</v>
      </c>
      <c r="AR12" s="69">
        <f t="shared" si="8"/>
        <v>43713</v>
      </c>
      <c r="AS12">
        <f>IF(AA12&lt;=$G$30,_XLL.TIR.NO.PER($AQ$8:AQ12,$AR$8:AR12),"")</f>
        <v>-0.9603037055581808</v>
      </c>
      <c r="AU12" s="6">
        <v>14</v>
      </c>
      <c r="AV12" s="72">
        <v>1.05</v>
      </c>
      <c r="AW12" s="2">
        <f t="shared" si="15"/>
        <v>5250</v>
      </c>
      <c r="AX12" s="2"/>
      <c r="AY12" s="6">
        <v>14</v>
      </c>
      <c r="AZ12" s="72">
        <v>1.1666666666666665</v>
      </c>
      <c r="BA12" s="13">
        <f t="shared" si="16"/>
        <v>5833.333333333333</v>
      </c>
    </row>
    <row r="13" spans="1:53" ht="13.5">
      <c r="A13" s="14"/>
      <c r="B13" s="22"/>
      <c r="C13" s="27"/>
      <c r="D13" s="27"/>
      <c r="E13" s="27"/>
      <c r="F13" s="27"/>
      <c r="G13" s="28"/>
      <c r="H13" s="28"/>
      <c r="I13" s="28"/>
      <c r="J13" s="23"/>
      <c r="K13" s="23"/>
      <c r="L13" s="87"/>
      <c r="M13" s="87"/>
      <c r="N13" s="87"/>
      <c r="O13" s="87"/>
      <c r="P13" s="95"/>
      <c r="Q13" s="96"/>
      <c r="R13" s="97"/>
      <c r="S13" s="24"/>
      <c r="T13" s="14"/>
      <c r="U13">
        <v>1</v>
      </c>
      <c r="X13">
        <f t="shared" si="0"/>
        <v>18</v>
      </c>
      <c r="AA13" s="54">
        <f t="shared" si="9"/>
        <v>5</v>
      </c>
      <c r="AB13" s="55">
        <f t="shared" si="10"/>
        <v>43713</v>
      </c>
      <c r="AC13" s="55">
        <f t="shared" si="11"/>
        <v>43743</v>
      </c>
      <c r="AD13" s="63">
        <f t="shared" si="12"/>
        <v>30</v>
      </c>
      <c r="AE13" s="57">
        <f t="shared" si="13"/>
        <v>6919.6866937608</v>
      </c>
      <c r="AF13" s="67">
        <f t="shared" si="2"/>
        <v>10</v>
      </c>
      <c r="AG13" s="54">
        <f t="shared" si="3"/>
        <v>5</v>
      </c>
      <c r="AH13" s="54"/>
      <c r="AI13" s="57">
        <f t="shared" si="4"/>
        <v>828.8093174687665</v>
      </c>
      <c r="AJ13" s="57">
        <f t="shared" si="5"/>
        <v>85.80411500261987</v>
      </c>
      <c r="AK13" s="57">
        <f t="shared" si="6"/>
        <v>929.6134324713863</v>
      </c>
      <c r="AM13" s="54">
        <f t="shared" si="14"/>
        <v>183</v>
      </c>
      <c r="AN13" s="61">
        <f t="shared" si="7"/>
        <v>0.9275812631320141</v>
      </c>
      <c r="AQ13" s="57">
        <f t="shared" si="1"/>
        <v>929.6134324713863</v>
      </c>
      <c r="AR13" s="69">
        <f t="shared" si="8"/>
        <v>43743</v>
      </c>
      <c r="AS13">
        <f>IF(AA13&lt;=$G$30,_XLL.TIR.NO.PER($AQ$8:AQ13,$AR$8:AR13),"")</f>
        <v>-0.8882884487509727</v>
      </c>
      <c r="AU13" s="6">
        <v>15</v>
      </c>
      <c r="AV13" s="72">
        <v>1.08</v>
      </c>
      <c r="AW13" s="2">
        <f t="shared" si="15"/>
        <v>5400</v>
      </c>
      <c r="AX13" s="2"/>
      <c r="AY13" s="6">
        <v>15</v>
      </c>
      <c r="AZ13" s="72">
        <v>1.2499999999999998</v>
      </c>
      <c r="BA13" s="13">
        <f t="shared" si="16"/>
        <v>6249.999999999999</v>
      </c>
    </row>
    <row r="14" spans="1:53" ht="13.5">
      <c r="A14" s="14"/>
      <c r="B14" s="22"/>
      <c r="C14" s="98" t="s">
        <v>13</v>
      </c>
      <c r="D14" s="99"/>
      <c r="E14" s="99"/>
      <c r="F14" s="100"/>
      <c r="G14" s="104">
        <v>5</v>
      </c>
      <c r="H14" s="105"/>
      <c r="I14" s="106"/>
      <c r="J14" s="23"/>
      <c r="K14" s="23"/>
      <c r="L14" s="29"/>
      <c r="M14" s="29"/>
      <c r="N14" s="29"/>
      <c r="O14" s="29"/>
      <c r="P14" s="14"/>
      <c r="Q14" s="14"/>
      <c r="R14" s="14"/>
      <c r="S14" s="24"/>
      <c r="T14" s="14"/>
      <c r="U14">
        <v>5</v>
      </c>
      <c r="X14">
        <f t="shared" si="0"/>
        <v>19</v>
      </c>
      <c r="AA14" s="54">
        <f t="shared" si="9"/>
        <v>6</v>
      </c>
      <c r="AB14" s="55">
        <f t="shared" si="10"/>
        <v>43743</v>
      </c>
      <c r="AC14" s="55">
        <f t="shared" si="11"/>
        <v>43774</v>
      </c>
      <c r="AD14" s="63">
        <f t="shared" si="12"/>
        <v>31</v>
      </c>
      <c r="AE14" s="57">
        <f t="shared" si="13"/>
        <v>6090.877376292034</v>
      </c>
      <c r="AF14" s="67">
        <f t="shared" si="2"/>
        <v>10</v>
      </c>
      <c r="AG14" s="54">
        <f t="shared" si="3"/>
        <v>5</v>
      </c>
      <c r="AH14" s="54"/>
      <c r="AI14" s="57">
        <f t="shared" si="4"/>
        <v>836.5529252268248</v>
      </c>
      <c r="AJ14" s="57">
        <f t="shared" si="5"/>
        <v>78.0605072445616</v>
      </c>
      <c r="AK14" s="57">
        <f t="shared" si="6"/>
        <v>929.6134324713863</v>
      </c>
      <c r="AM14" s="54">
        <f t="shared" si="14"/>
        <v>214</v>
      </c>
      <c r="AN14" s="61">
        <f t="shared" si="7"/>
        <v>0.9158438351861317</v>
      </c>
      <c r="AQ14" s="57">
        <f t="shared" si="1"/>
        <v>929.6134324713863</v>
      </c>
      <c r="AR14" s="69">
        <f t="shared" si="8"/>
        <v>43774</v>
      </c>
      <c r="AS14">
        <f>IF(AA14&lt;=$G$30,_XLL.TIR.NO.PER($AQ$8:AQ14,$AR$8:AR14),"")</f>
        <v>-0.7749033667147158</v>
      </c>
      <c r="AU14" s="6">
        <v>16</v>
      </c>
      <c r="AV14" s="72">
        <v>1.13</v>
      </c>
      <c r="AW14" s="2">
        <f t="shared" si="15"/>
        <v>5649.999999999999</v>
      </c>
      <c r="AX14" s="2"/>
      <c r="AY14" s="6">
        <v>16</v>
      </c>
      <c r="AZ14" s="72">
        <v>1.333333333333333</v>
      </c>
      <c r="BA14" s="13">
        <f t="shared" si="16"/>
        <v>6666.666666666665</v>
      </c>
    </row>
    <row r="15" spans="1:53" ht="13.5">
      <c r="A15" s="14"/>
      <c r="B15" s="22"/>
      <c r="C15" s="101"/>
      <c r="D15" s="102"/>
      <c r="E15" s="102"/>
      <c r="F15" s="103"/>
      <c r="G15" s="107"/>
      <c r="H15" s="108"/>
      <c r="I15" s="109"/>
      <c r="J15" s="23"/>
      <c r="K15" s="23"/>
      <c r="L15" s="87" t="s">
        <v>30</v>
      </c>
      <c r="M15" s="87"/>
      <c r="N15" s="87"/>
      <c r="O15" s="87"/>
      <c r="P15" s="89">
        <f>+AG9</f>
        <v>5</v>
      </c>
      <c r="Q15" s="90"/>
      <c r="R15" s="91"/>
      <c r="S15" s="24"/>
      <c r="T15" s="14"/>
      <c r="U15">
        <v>10</v>
      </c>
      <c r="X15">
        <f t="shared" si="0"/>
        <v>20</v>
      </c>
      <c r="AA15" s="54">
        <f t="shared" si="9"/>
        <v>7</v>
      </c>
      <c r="AB15" s="55">
        <f t="shared" si="10"/>
        <v>43774</v>
      </c>
      <c r="AC15" s="55">
        <f t="shared" si="11"/>
        <v>43804</v>
      </c>
      <c r="AD15" s="63">
        <f t="shared" si="12"/>
        <v>30</v>
      </c>
      <c r="AE15" s="57">
        <f t="shared" si="13"/>
        <v>5254.324451065209</v>
      </c>
      <c r="AF15" s="67">
        <f t="shared" si="2"/>
        <v>10</v>
      </c>
      <c r="AG15" s="54">
        <f t="shared" si="3"/>
        <v>5</v>
      </c>
      <c r="AH15" s="54"/>
      <c r="AI15" s="57">
        <f t="shared" si="4"/>
        <v>849.4598092781885</v>
      </c>
      <c r="AJ15" s="57">
        <f t="shared" si="5"/>
        <v>65.15362319319792</v>
      </c>
      <c r="AK15" s="57">
        <f t="shared" si="6"/>
        <v>929.6134324713863</v>
      </c>
      <c r="AM15" s="54">
        <f t="shared" si="14"/>
        <v>244</v>
      </c>
      <c r="AN15" s="61">
        <f t="shared" si="7"/>
        <v>0.9046264669953904</v>
      </c>
      <c r="AQ15" s="57">
        <f t="shared" si="1"/>
        <v>929.6134324713863</v>
      </c>
      <c r="AR15" s="69">
        <f t="shared" si="8"/>
        <v>43804</v>
      </c>
      <c r="AS15">
        <f>IF(AA15&lt;=$G$30,_XLL.TIR.NO.PER($AQ$8:AQ15,$AR$8:AR15),"")</f>
        <v>-0.6301931478083136</v>
      </c>
      <c r="AU15" s="6">
        <v>17</v>
      </c>
      <c r="AV15" s="72">
        <v>1.19</v>
      </c>
      <c r="AW15" s="2">
        <f t="shared" si="15"/>
        <v>5950</v>
      </c>
      <c r="AX15" s="2"/>
      <c r="AY15" s="6">
        <v>17</v>
      </c>
      <c r="AZ15" s="72">
        <v>1.4166666666666663</v>
      </c>
      <c r="BA15" s="13">
        <f t="shared" si="16"/>
        <v>7083.333333333331</v>
      </c>
    </row>
    <row r="16" spans="1:53" ht="13.5">
      <c r="A16" s="14"/>
      <c r="B16" s="22"/>
      <c r="C16" s="25"/>
      <c r="D16" s="23"/>
      <c r="E16" s="23"/>
      <c r="F16" s="26"/>
      <c r="G16" s="23"/>
      <c r="H16" s="23"/>
      <c r="I16" s="23"/>
      <c r="J16" s="23"/>
      <c r="K16" s="23"/>
      <c r="L16" s="87"/>
      <c r="M16" s="87"/>
      <c r="N16" s="87"/>
      <c r="O16" s="87"/>
      <c r="P16" s="92"/>
      <c r="Q16" s="93"/>
      <c r="R16" s="94"/>
      <c r="S16" s="24"/>
      <c r="T16" s="14"/>
      <c r="U16">
        <v>15</v>
      </c>
      <c r="X16">
        <f t="shared" si="0"/>
        <v>21</v>
      </c>
      <c r="AA16" s="54">
        <f t="shared" si="9"/>
        <v>8</v>
      </c>
      <c r="AB16" s="55">
        <f t="shared" si="10"/>
        <v>43804</v>
      </c>
      <c r="AC16" s="55">
        <f t="shared" si="11"/>
        <v>43835</v>
      </c>
      <c r="AD16" s="63">
        <f t="shared" si="12"/>
        <v>31</v>
      </c>
      <c r="AE16" s="57">
        <f t="shared" si="13"/>
        <v>4404.86464178702</v>
      </c>
      <c r="AF16" s="67">
        <f t="shared" si="2"/>
        <v>10</v>
      </c>
      <c r="AG16" s="54">
        <f t="shared" si="3"/>
        <v>5</v>
      </c>
      <c r="AH16" s="54"/>
      <c r="AI16" s="57">
        <f t="shared" si="4"/>
        <v>858.1608153788299</v>
      </c>
      <c r="AJ16" s="57">
        <f t="shared" si="5"/>
        <v>56.452617092556444</v>
      </c>
      <c r="AK16" s="57">
        <f t="shared" si="6"/>
        <v>929.6134324713863</v>
      </c>
      <c r="AM16" s="54">
        <f t="shared" si="14"/>
        <v>275</v>
      </c>
      <c r="AN16" s="61">
        <f t="shared" si="7"/>
        <v>0.8931795044527828</v>
      </c>
      <c r="AQ16" s="57">
        <f t="shared" si="1"/>
        <v>929.6134324713863</v>
      </c>
      <c r="AR16" s="69">
        <f t="shared" si="8"/>
        <v>43835</v>
      </c>
      <c r="AS16">
        <f>IF(AA16&lt;=$G$30,_XLL.TIR.NO.PER($AQ$8:AQ16,$AR$8:AR16),"")</f>
        <v>-0.46638148352503783</v>
      </c>
      <c r="AU16" s="6">
        <v>18</v>
      </c>
      <c r="AV16" s="72">
        <v>1.24</v>
      </c>
      <c r="AW16" s="2">
        <f t="shared" si="15"/>
        <v>6200</v>
      </c>
      <c r="AX16" s="2"/>
      <c r="AY16" s="6">
        <v>18</v>
      </c>
      <c r="AZ16" s="72">
        <v>1.4999999999999996</v>
      </c>
      <c r="BA16" s="13">
        <f t="shared" si="16"/>
        <v>7499.999999999998</v>
      </c>
    </row>
    <row r="17" spans="1:53" ht="13.5">
      <c r="A17" s="14"/>
      <c r="B17" s="22"/>
      <c r="C17" s="73" t="s">
        <v>14</v>
      </c>
      <c r="D17" s="73"/>
      <c r="E17" s="73"/>
      <c r="F17" s="73"/>
      <c r="G17" s="104">
        <v>10000</v>
      </c>
      <c r="H17" s="105"/>
      <c r="I17" s="106"/>
      <c r="J17" s="23"/>
      <c r="K17" s="23"/>
      <c r="L17" s="87"/>
      <c r="M17" s="87"/>
      <c r="N17" s="87"/>
      <c r="O17" s="87"/>
      <c r="P17" s="95"/>
      <c r="Q17" s="96"/>
      <c r="R17" s="97"/>
      <c r="S17" s="24"/>
      <c r="T17" s="14"/>
      <c r="U17">
        <v>20</v>
      </c>
      <c r="X17">
        <f t="shared" si="0"/>
        <v>22</v>
      </c>
      <c r="AA17" s="54">
        <f t="shared" si="9"/>
        <v>9</v>
      </c>
      <c r="AB17" s="55">
        <f t="shared" si="10"/>
        <v>43835</v>
      </c>
      <c r="AC17" s="55">
        <f t="shared" si="11"/>
        <v>43866</v>
      </c>
      <c r="AD17" s="63">
        <f t="shared" si="12"/>
        <v>31</v>
      </c>
      <c r="AE17" s="57">
        <f t="shared" si="13"/>
        <v>3546.7038264081907</v>
      </c>
      <c r="AF17" s="67">
        <f t="shared" si="2"/>
        <v>10</v>
      </c>
      <c r="AG17" s="54">
        <f t="shared" si="3"/>
        <v>5</v>
      </c>
      <c r="AH17" s="54"/>
      <c r="AI17" s="57">
        <f t="shared" si="4"/>
        <v>869.1589794211109</v>
      </c>
      <c r="AJ17" s="57">
        <f t="shared" si="5"/>
        <v>45.45445305027542</v>
      </c>
      <c r="AK17" s="57">
        <f t="shared" si="6"/>
        <v>929.6134324713863</v>
      </c>
      <c r="AM17" s="54">
        <f t="shared" si="14"/>
        <v>306</v>
      </c>
      <c r="AN17" s="61">
        <f t="shared" si="7"/>
        <v>0.8818773894867526</v>
      </c>
      <c r="AQ17" s="57">
        <f t="shared" si="1"/>
        <v>929.6134324713863</v>
      </c>
      <c r="AR17" s="69">
        <f t="shared" si="8"/>
        <v>43866</v>
      </c>
      <c r="AS17">
        <f>IF(AA17&lt;=$G$30,_XLL.TIR.NO.PER($AQ$8:AQ17,$AR$8:AR17),"")</f>
        <v>-0.29501662477850915</v>
      </c>
      <c r="AU17" s="6">
        <v>19</v>
      </c>
      <c r="AV17" s="72">
        <v>1.3</v>
      </c>
      <c r="AW17" s="2">
        <f t="shared" si="15"/>
        <v>6500</v>
      </c>
      <c r="AX17" s="2"/>
      <c r="AY17" s="6">
        <v>19</v>
      </c>
      <c r="AZ17" s="72">
        <v>1.5833333333333328</v>
      </c>
      <c r="BA17" s="13">
        <f t="shared" si="16"/>
        <v>7916.666666666664</v>
      </c>
    </row>
    <row r="18" spans="1:53" ht="13.5">
      <c r="A18" s="14"/>
      <c r="B18" s="22"/>
      <c r="C18" s="74"/>
      <c r="D18" s="74"/>
      <c r="E18" s="74"/>
      <c r="F18" s="74"/>
      <c r="G18" s="107"/>
      <c r="H18" s="108"/>
      <c r="I18" s="109"/>
      <c r="J18" s="23"/>
      <c r="K18" s="23"/>
      <c r="L18" s="29"/>
      <c r="M18" s="29"/>
      <c r="N18" s="29"/>
      <c r="O18" s="29"/>
      <c r="P18" s="14"/>
      <c r="Q18" s="14"/>
      <c r="R18" s="14"/>
      <c r="S18" s="24"/>
      <c r="T18" s="14"/>
      <c r="U18">
        <v>25</v>
      </c>
      <c r="X18">
        <f t="shared" si="0"/>
        <v>23</v>
      </c>
      <c r="AA18" s="54">
        <f t="shared" si="9"/>
        <v>10</v>
      </c>
      <c r="AB18" s="55">
        <f t="shared" si="10"/>
        <v>43866</v>
      </c>
      <c r="AC18" s="55">
        <f t="shared" si="11"/>
        <v>43895</v>
      </c>
      <c r="AD18" s="63">
        <f t="shared" si="12"/>
        <v>29</v>
      </c>
      <c r="AE18" s="57">
        <f t="shared" si="13"/>
        <v>2677.54484698708</v>
      </c>
      <c r="AF18" s="67">
        <f t="shared" si="2"/>
        <v>10</v>
      </c>
      <c r="AG18" s="54">
        <f t="shared" si="3"/>
        <v>5</v>
      </c>
      <c r="AH18" s="54"/>
      <c r="AI18" s="57">
        <f t="shared" si="4"/>
        <v>882.52519968585</v>
      </c>
      <c r="AJ18" s="57">
        <f t="shared" si="5"/>
        <v>32.08823278553637</v>
      </c>
      <c r="AK18" s="57">
        <f t="shared" si="6"/>
        <v>929.6134324713863</v>
      </c>
      <c r="AM18" s="54">
        <f t="shared" si="14"/>
        <v>335</v>
      </c>
      <c r="AN18" s="61">
        <f t="shared" si="7"/>
        <v>0.8714339507889466</v>
      </c>
      <c r="AQ18" s="57">
        <f t="shared" si="1"/>
        <v>929.6134324713863</v>
      </c>
      <c r="AR18" s="69">
        <f t="shared" si="8"/>
        <v>43895</v>
      </c>
      <c r="AS18">
        <f>IF(AA18&lt;=$G$30,_XLL.TIR.NO.PER($AQ$8:AQ18,$AR$8:AR18),"")</f>
        <v>-0.12482357956469059</v>
      </c>
      <c r="AU18" s="6">
        <v>20</v>
      </c>
      <c r="AV18" s="72">
        <v>1.34</v>
      </c>
      <c r="AW18" s="2">
        <f t="shared" si="15"/>
        <v>6700</v>
      </c>
      <c r="AX18" s="2"/>
      <c r="AY18" s="6">
        <v>20</v>
      </c>
      <c r="AZ18" s="72">
        <v>1.666666666666666</v>
      </c>
      <c r="BA18" s="13">
        <f t="shared" si="16"/>
        <v>8333.33333333333</v>
      </c>
    </row>
    <row r="19" spans="1:53" ht="13.5">
      <c r="A19" s="14"/>
      <c r="B19" s="22"/>
      <c r="C19" s="25"/>
      <c r="D19" s="23"/>
      <c r="E19" s="23"/>
      <c r="F19" s="26"/>
      <c r="G19" s="23"/>
      <c r="H19" s="23"/>
      <c r="I19" s="23"/>
      <c r="J19" s="23"/>
      <c r="K19" s="23"/>
      <c r="L19" s="29"/>
      <c r="M19" s="29"/>
      <c r="N19" s="29"/>
      <c r="O19" s="29"/>
      <c r="P19" s="14"/>
      <c r="Q19" s="14"/>
      <c r="R19" s="14"/>
      <c r="S19" s="24"/>
      <c r="T19" s="14"/>
      <c r="U19">
        <f>30</f>
        <v>30</v>
      </c>
      <c r="X19">
        <f t="shared" si="0"/>
        <v>24</v>
      </c>
      <c r="AA19" s="54">
        <f t="shared" si="9"/>
        <v>11</v>
      </c>
      <c r="AB19" s="55">
        <f t="shared" si="10"/>
        <v>43895</v>
      </c>
      <c r="AC19" s="55">
        <f t="shared" si="11"/>
        <v>43926</v>
      </c>
      <c r="AD19" s="63">
        <f t="shared" si="12"/>
        <v>31</v>
      </c>
      <c r="AE19" s="57">
        <f t="shared" si="13"/>
        <v>1795.0196473012297</v>
      </c>
      <c r="AF19" s="67">
        <f t="shared" si="2"/>
        <v>10</v>
      </c>
      <c r="AG19" s="54">
        <f t="shared" si="3"/>
        <v>5</v>
      </c>
      <c r="AH19" s="54"/>
      <c r="AI19" s="57">
        <f t="shared" si="4"/>
        <v>891.6085128964679</v>
      </c>
      <c r="AJ19" s="57">
        <f t="shared" si="5"/>
        <v>23.004919574918375</v>
      </c>
      <c r="AK19" s="57">
        <f t="shared" si="6"/>
        <v>929.6134324713863</v>
      </c>
      <c r="AM19" s="54">
        <f t="shared" si="14"/>
        <v>366</v>
      </c>
      <c r="AN19" s="61">
        <f t="shared" si="7"/>
        <v>0.860406999713583</v>
      </c>
      <c r="AQ19" s="57">
        <f t="shared" si="1"/>
        <v>929.6134324713863</v>
      </c>
      <c r="AR19" s="69">
        <f t="shared" si="8"/>
        <v>43926</v>
      </c>
      <c r="AS19">
        <f>IF(AA19&lt;=$G$30,_XLL.TIR.NO.PER($AQ$8:AQ19,$AR$8:AR19),"")</f>
        <v>0.03896774351596834</v>
      </c>
      <c r="AU19" s="6">
        <v>21</v>
      </c>
      <c r="AV19" s="72">
        <v>1.4</v>
      </c>
      <c r="AW19" s="2">
        <f t="shared" si="15"/>
        <v>7000</v>
      </c>
      <c r="AX19" s="2"/>
      <c r="AY19" s="6">
        <v>21</v>
      </c>
      <c r="AZ19" s="72">
        <v>1.7499999999999993</v>
      </c>
      <c r="BA19" s="13">
        <f t="shared" si="16"/>
        <v>8749.999999999996</v>
      </c>
    </row>
    <row r="20" spans="1:53" ht="13.5">
      <c r="A20" s="14"/>
      <c r="B20" s="22"/>
      <c r="C20" s="73" t="s">
        <v>15</v>
      </c>
      <c r="D20" s="73"/>
      <c r="E20" s="73"/>
      <c r="F20" s="73"/>
      <c r="G20" s="110">
        <v>12</v>
      </c>
      <c r="H20" s="90"/>
      <c r="I20" s="91"/>
      <c r="J20" s="23"/>
      <c r="K20" s="23"/>
      <c r="L20" s="29"/>
      <c r="M20" s="29"/>
      <c r="N20" s="29"/>
      <c r="O20" s="29"/>
      <c r="P20" s="14"/>
      <c r="Q20" s="14"/>
      <c r="R20" s="14"/>
      <c r="S20" s="24"/>
      <c r="T20" s="14"/>
      <c r="X20">
        <f t="shared" si="0"/>
        <v>25</v>
      </c>
      <c r="AA20" s="54">
        <f t="shared" si="9"/>
        <v>12</v>
      </c>
      <c r="AB20" s="55">
        <f t="shared" si="10"/>
        <v>43926</v>
      </c>
      <c r="AC20" s="55">
        <f t="shared" si="11"/>
        <v>43956</v>
      </c>
      <c r="AD20" s="63">
        <f t="shared" si="12"/>
        <v>30</v>
      </c>
      <c r="AE20" s="57">
        <f t="shared" si="13"/>
        <v>903.4111344047618</v>
      </c>
      <c r="AF20" s="67">
        <f t="shared" si="2"/>
        <v>10</v>
      </c>
      <c r="AG20" s="54">
        <f t="shared" si="3"/>
        <v>5</v>
      </c>
      <c r="AH20" s="54"/>
      <c r="AI20" s="57">
        <f t="shared" si="4"/>
        <v>903.4111344047691</v>
      </c>
      <c r="AJ20" s="57">
        <f t="shared" si="5"/>
        <v>11.20229806661721</v>
      </c>
      <c r="AK20" s="57">
        <f t="shared" si="6"/>
        <v>929.6134324713863</v>
      </c>
      <c r="AM20" s="54">
        <f t="shared" si="14"/>
        <v>396</v>
      </c>
      <c r="AN20" s="61">
        <f t="shared" si="7"/>
        <v>0.8498686287174875</v>
      </c>
      <c r="AQ20" s="57">
        <f t="shared" si="1"/>
        <v>929.6134324713863</v>
      </c>
      <c r="AR20" s="69">
        <f t="shared" si="8"/>
        <v>43956</v>
      </c>
      <c r="AS20">
        <f>IF(AA20&lt;=$G$30,_XLL.TIR.NO.PER($AQ$8:AQ20,$AR$8:AR20),"")</f>
        <v>0.19298705458641055</v>
      </c>
      <c r="AU20" s="6">
        <v>22</v>
      </c>
      <c r="AV20" s="72">
        <v>1.44</v>
      </c>
      <c r="AW20" s="2">
        <f t="shared" si="15"/>
        <v>7200</v>
      </c>
      <c r="AX20" s="2"/>
      <c r="AY20" s="6">
        <v>22</v>
      </c>
      <c r="AZ20" s="72">
        <v>1.8333333333333326</v>
      </c>
      <c r="BA20" s="13">
        <f t="shared" si="16"/>
        <v>9166.666666666662</v>
      </c>
    </row>
    <row r="21" spans="1:53" ht="13.5">
      <c r="A21" s="14"/>
      <c r="B21" s="22"/>
      <c r="C21" s="74"/>
      <c r="D21" s="74"/>
      <c r="E21" s="74"/>
      <c r="F21" s="74"/>
      <c r="G21" s="95"/>
      <c r="H21" s="96"/>
      <c r="I21" s="97"/>
      <c r="J21" s="23"/>
      <c r="K21" s="23"/>
      <c r="L21" s="87" t="s">
        <v>16</v>
      </c>
      <c r="M21" s="87"/>
      <c r="N21" s="87"/>
      <c r="O21" s="87"/>
      <c r="P21" s="89">
        <f>+AK9</f>
        <v>929.6134324713863</v>
      </c>
      <c r="Q21" s="90"/>
      <c r="R21" s="91"/>
      <c r="S21" s="24"/>
      <c r="T21" s="14"/>
      <c r="X21">
        <f t="shared" si="0"/>
        <v>26</v>
      </c>
      <c r="AA21" s="54">
        <f t="shared" si="9"/>
        <v>13</v>
      </c>
      <c r="AB21" s="55">
        <f t="shared" si="10"/>
      </c>
      <c r="AC21" s="55">
        <f t="shared" si="11"/>
      </c>
      <c r="AD21" s="63">
        <f t="shared" si="12"/>
      </c>
      <c r="AE21" s="57">
        <f t="shared" si="13"/>
      </c>
      <c r="AF21" s="67">
        <f t="shared" si="2"/>
      </c>
      <c r="AG21" s="54">
        <f t="shared" si="3"/>
      </c>
      <c r="AH21" s="54"/>
      <c r="AI21" s="57">
        <f t="shared" si="4"/>
      </c>
      <c r="AJ21" s="57">
        <f t="shared" si="5"/>
      </c>
      <c r="AK21" s="57">
        <f t="shared" si="6"/>
      </c>
      <c r="AM21" s="54">
        <f t="shared" si="14"/>
      </c>
      <c r="AN21" s="61">
        <f t="shared" si="7"/>
      </c>
      <c r="AQ21" s="57">
        <f t="shared" si="1"/>
      </c>
      <c r="AR21" s="69">
        <f t="shared" si="8"/>
      </c>
      <c r="AS21">
        <f>IF(AA21&lt;=$G$30,_XLL.TIR.NO.PER($AQ$8:AQ21,$AR$8:AR21),"")</f>
      </c>
      <c r="AU21" s="6">
        <v>23</v>
      </c>
      <c r="AV21" s="72">
        <v>1.49</v>
      </c>
      <c r="AW21" s="2">
        <f t="shared" si="15"/>
        <v>7450</v>
      </c>
      <c r="AX21" s="2"/>
      <c r="AY21" s="6">
        <v>23</v>
      </c>
      <c r="AZ21" s="72">
        <v>1.9166666666666659</v>
      </c>
      <c r="BA21" s="13">
        <f t="shared" si="16"/>
        <v>9583.333333333328</v>
      </c>
    </row>
    <row r="22" spans="1:53" ht="15" thickBot="1">
      <c r="A22" s="14"/>
      <c r="B22" s="22"/>
      <c r="C22" s="25"/>
      <c r="D22" s="23"/>
      <c r="E22" s="23"/>
      <c r="F22" s="26"/>
      <c r="G22" s="23"/>
      <c r="H22" s="23"/>
      <c r="I22" s="23"/>
      <c r="J22" s="23"/>
      <c r="K22" s="23"/>
      <c r="L22" s="87"/>
      <c r="M22" s="87"/>
      <c r="N22" s="87"/>
      <c r="O22" s="87"/>
      <c r="P22" s="92"/>
      <c r="Q22" s="93"/>
      <c r="R22" s="94"/>
      <c r="S22" s="24"/>
      <c r="T22" s="14"/>
      <c r="X22">
        <f t="shared" si="0"/>
        <v>27</v>
      </c>
      <c r="AA22" s="54">
        <f t="shared" si="9"/>
        <v>14</v>
      </c>
      <c r="AB22" s="55">
        <f t="shared" si="10"/>
      </c>
      <c r="AC22" s="55">
        <f t="shared" si="11"/>
      </c>
      <c r="AD22" s="63">
        <f t="shared" si="12"/>
      </c>
      <c r="AE22" s="57">
        <f t="shared" si="13"/>
      </c>
      <c r="AF22" s="67">
        <f t="shared" si="2"/>
      </c>
      <c r="AG22" s="54">
        <f t="shared" si="3"/>
      </c>
      <c r="AH22" s="54"/>
      <c r="AI22" s="57">
        <f t="shared" si="4"/>
      </c>
      <c r="AJ22" s="57">
        <f t="shared" si="5"/>
      </c>
      <c r="AK22" s="57">
        <f t="shared" si="6"/>
      </c>
      <c r="AM22" s="54">
        <f t="shared" si="14"/>
      </c>
      <c r="AN22" s="61">
        <f t="shared" si="7"/>
      </c>
      <c r="AQ22" s="57">
        <f t="shared" si="1"/>
      </c>
      <c r="AR22" s="69">
        <f t="shared" si="8"/>
      </c>
      <c r="AS22">
        <f>IF(AA22&lt;=$G$30,_XLL.TIR.NO.PER($AQ$8:AQ22,$AR$8:AR22),"")</f>
      </c>
      <c r="AU22" s="7">
        <v>24</v>
      </c>
      <c r="AV22" s="72">
        <v>1.53</v>
      </c>
      <c r="AW22" s="2">
        <f t="shared" si="15"/>
        <v>7650</v>
      </c>
      <c r="AX22" s="2"/>
      <c r="AY22" s="7">
        <v>24</v>
      </c>
      <c r="AZ22" s="9">
        <v>1.9999999999999991</v>
      </c>
      <c r="BA22" s="13">
        <f t="shared" si="16"/>
        <v>9999.999999999996</v>
      </c>
    </row>
    <row r="23" spans="1:53" ht="13.5">
      <c r="A23" s="14"/>
      <c r="B23" s="22"/>
      <c r="C23" s="73" t="s">
        <v>4</v>
      </c>
      <c r="D23" s="73"/>
      <c r="E23" s="73"/>
      <c r="F23" s="73"/>
      <c r="G23" s="111">
        <v>0.0124</v>
      </c>
      <c r="H23" s="112"/>
      <c r="I23" s="113"/>
      <c r="J23" s="23"/>
      <c r="K23" s="23"/>
      <c r="L23" s="87"/>
      <c r="M23" s="87"/>
      <c r="N23" s="87"/>
      <c r="O23" s="87"/>
      <c r="P23" s="95"/>
      <c r="Q23" s="96"/>
      <c r="R23" s="97"/>
      <c r="S23" s="24"/>
      <c r="T23" s="14"/>
      <c r="X23">
        <f t="shared" si="0"/>
        <v>28</v>
      </c>
      <c r="AA23" s="54">
        <f t="shared" si="9"/>
        <v>15</v>
      </c>
      <c r="AB23" s="55">
        <f t="shared" si="10"/>
      </c>
      <c r="AC23" s="55">
        <f t="shared" si="11"/>
      </c>
      <c r="AD23" s="63">
        <f t="shared" si="12"/>
      </c>
      <c r="AE23" s="57">
        <f t="shared" si="13"/>
      </c>
      <c r="AF23" s="67">
        <f t="shared" si="2"/>
      </c>
      <c r="AG23" s="54">
        <f t="shared" si="3"/>
      </c>
      <c r="AH23" s="54"/>
      <c r="AI23" s="57">
        <f t="shared" si="4"/>
      </c>
      <c r="AJ23" s="57">
        <f t="shared" si="5"/>
      </c>
      <c r="AK23" s="57">
        <f t="shared" si="6"/>
      </c>
      <c r="AM23" s="54">
        <f t="shared" si="14"/>
      </c>
      <c r="AN23" s="61">
        <f t="shared" si="7"/>
      </c>
      <c r="AQ23" s="57">
        <f t="shared" si="1"/>
      </c>
      <c r="AR23" s="69">
        <f t="shared" si="8"/>
      </c>
      <c r="AS23">
        <f>IF(AA23&lt;=$G$30,_XLL.TIR.NO.PER($AQ$8:AQ23,$AR$8:AR23),"")</f>
      </c>
      <c r="AU23" s="6">
        <v>25</v>
      </c>
      <c r="AV23" s="72">
        <v>1.58</v>
      </c>
      <c r="AW23" s="2">
        <f t="shared" si="15"/>
        <v>7900</v>
      </c>
      <c r="AX23" s="2"/>
      <c r="AY23" s="2"/>
      <c r="AZ23" s="2"/>
      <c r="BA23" s="2"/>
    </row>
    <row r="24" spans="1:53" ht="13.5">
      <c r="A24" s="14"/>
      <c r="B24" s="22"/>
      <c r="C24" s="74"/>
      <c r="D24" s="74"/>
      <c r="E24" s="74"/>
      <c r="F24" s="74"/>
      <c r="G24" s="114"/>
      <c r="H24" s="115"/>
      <c r="I24" s="116"/>
      <c r="J24" s="23"/>
      <c r="K24" s="23"/>
      <c r="L24" s="29"/>
      <c r="M24" s="29"/>
      <c r="N24" s="29"/>
      <c r="O24" s="29"/>
      <c r="P24" s="14"/>
      <c r="Q24" s="14"/>
      <c r="R24" s="14"/>
      <c r="S24" s="24"/>
      <c r="T24" s="14"/>
      <c r="X24">
        <f t="shared" si="0"/>
        <v>29</v>
      </c>
      <c r="AA24" s="54">
        <f t="shared" si="9"/>
        <v>16</v>
      </c>
      <c r="AB24" s="55">
        <f t="shared" si="10"/>
      </c>
      <c r="AC24" s="55">
        <f t="shared" si="11"/>
      </c>
      <c r="AD24" s="63">
        <f t="shared" si="12"/>
      </c>
      <c r="AE24" s="57">
        <f t="shared" si="13"/>
      </c>
      <c r="AF24" s="67">
        <f t="shared" si="2"/>
      </c>
      <c r="AG24" s="54">
        <f t="shared" si="3"/>
      </c>
      <c r="AH24" s="54"/>
      <c r="AI24" s="57">
        <f t="shared" si="4"/>
      </c>
      <c r="AJ24" s="57">
        <f t="shared" si="5"/>
      </c>
      <c r="AK24" s="57">
        <f t="shared" si="6"/>
      </c>
      <c r="AM24" s="54">
        <f t="shared" si="14"/>
      </c>
      <c r="AN24" s="61">
        <f t="shared" si="7"/>
      </c>
      <c r="AQ24" s="57">
        <f t="shared" si="1"/>
      </c>
      <c r="AR24" s="69">
        <f t="shared" si="8"/>
      </c>
      <c r="AS24">
        <f>IF(AA24&lt;=$G$30,_XLL.TIR.NO.PER($AQ$8:AQ24,$AR$8:AR24),"")</f>
      </c>
      <c r="AU24" s="6">
        <v>26</v>
      </c>
      <c r="AV24" s="72">
        <v>1.62</v>
      </c>
      <c r="AW24" s="2">
        <f t="shared" si="15"/>
        <v>8100.000000000001</v>
      </c>
      <c r="AX24" s="2"/>
      <c r="AY24" s="2"/>
      <c r="AZ24" s="2"/>
      <c r="BA24" s="2"/>
    </row>
    <row r="25" spans="1:53" ht="13.5">
      <c r="A25" s="14"/>
      <c r="B25" s="22"/>
      <c r="C25" s="25"/>
      <c r="D25" s="23"/>
      <c r="E25" s="23"/>
      <c r="F25" s="26"/>
      <c r="G25" s="23"/>
      <c r="H25" s="23"/>
      <c r="I25" s="23"/>
      <c r="J25" s="23"/>
      <c r="K25" s="23"/>
      <c r="L25" s="87" t="s">
        <v>17</v>
      </c>
      <c r="M25" s="87"/>
      <c r="N25" s="87"/>
      <c r="O25" s="87"/>
      <c r="P25" s="117">
        <f>+AN3</f>
        <v>0.19298705458641055</v>
      </c>
      <c r="Q25" s="90"/>
      <c r="R25" s="91"/>
      <c r="S25" s="24"/>
      <c r="T25" s="14"/>
      <c r="X25">
        <f t="shared" si="0"/>
        <v>30</v>
      </c>
      <c r="AA25" s="54">
        <f t="shared" si="9"/>
        <v>17</v>
      </c>
      <c r="AB25" s="55">
        <f t="shared" si="10"/>
      </c>
      <c r="AC25" s="55">
        <f t="shared" si="11"/>
      </c>
      <c r="AD25" s="63">
        <f t="shared" si="12"/>
      </c>
      <c r="AE25" s="57">
        <f t="shared" si="13"/>
      </c>
      <c r="AF25" s="67">
        <f t="shared" si="2"/>
      </c>
      <c r="AG25" s="54">
        <f t="shared" si="3"/>
      </c>
      <c r="AH25" s="54"/>
      <c r="AI25" s="57">
        <f t="shared" si="4"/>
      </c>
      <c r="AJ25" s="57">
        <f t="shared" si="5"/>
      </c>
      <c r="AK25" s="57">
        <f t="shared" si="6"/>
      </c>
      <c r="AM25" s="54">
        <f t="shared" si="14"/>
      </c>
      <c r="AN25" s="61">
        <f t="shared" si="7"/>
      </c>
      <c r="AQ25" s="57">
        <f t="shared" si="1"/>
      </c>
      <c r="AR25" s="69">
        <f t="shared" si="8"/>
      </c>
      <c r="AS25">
        <f>IF(AA25&lt;=$G$30,_XLL.TIR.NO.PER($AQ$8:AQ25,$AR$8:AR25),"")</f>
      </c>
      <c r="AU25" s="6">
        <v>27</v>
      </c>
      <c r="AV25" s="72">
        <v>1.66</v>
      </c>
      <c r="AW25" s="2">
        <f t="shared" si="15"/>
        <v>8300</v>
      </c>
      <c r="AX25" s="2"/>
      <c r="AY25" s="2"/>
      <c r="AZ25" s="2"/>
      <c r="BA25" s="2"/>
    </row>
    <row r="26" spans="1:53" ht="13.5">
      <c r="A26" s="14"/>
      <c r="B26" s="22"/>
      <c r="C26" s="73" t="s">
        <v>0</v>
      </c>
      <c r="D26" s="73"/>
      <c r="E26" s="73"/>
      <c r="F26" s="73"/>
      <c r="G26" s="111">
        <f>+(1+G23)^(12)-1</f>
        <v>0.15937955571773355</v>
      </c>
      <c r="H26" s="112"/>
      <c r="I26" s="113"/>
      <c r="J26" s="23"/>
      <c r="K26" s="23"/>
      <c r="L26" s="87"/>
      <c r="M26" s="87"/>
      <c r="N26" s="87"/>
      <c r="O26" s="87"/>
      <c r="P26" s="92"/>
      <c r="Q26" s="93"/>
      <c r="R26" s="94"/>
      <c r="S26" s="24"/>
      <c r="T26" s="14"/>
      <c r="X26">
        <f t="shared" si="0"/>
        <v>31</v>
      </c>
      <c r="AA26" s="54">
        <f t="shared" si="9"/>
        <v>18</v>
      </c>
      <c r="AB26" s="55">
        <f t="shared" si="10"/>
      </c>
      <c r="AC26" s="55">
        <f t="shared" si="11"/>
      </c>
      <c r="AD26" s="63">
        <f t="shared" si="12"/>
      </c>
      <c r="AE26" s="57">
        <f t="shared" si="13"/>
      </c>
      <c r="AF26" s="67">
        <f t="shared" si="2"/>
      </c>
      <c r="AG26" s="54">
        <f t="shared" si="3"/>
      </c>
      <c r="AH26" s="54"/>
      <c r="AI26" s="57">
        <f t="shared" si="4"/>
      </c>
      <c r="AJ26" s="57">
        <f t="shared" si="5"/>
      </c>
      <c r="AK26" s="57">
        <f t="shared" si="6"/>
      </c>
      <c r="AM26" s="54">
        <f t="shared" si="14"/>
      </c>
      <c r="AN26" s="61">
        <f t="shared" si="7"/>
      </c>
      <c r="AQ26" s="57">
        <f t="shared" si="1"/>
      </c>
      <c r="AR26" s="69">
        <f t="shared" si="8"/>
      </c>
      <c r="AS26">
        <f>IF(AA26&lt;=$G$30,_XLL.TIR.NO.PER($AQ$8:AQ26,$AR$8:AR26),"")</f>
      </c>
      <c r="AU26" s="6">
        <v>28</v>
      </c>
      <c r="AV26" s="72">
        <v>1.7</v>
      </c>
      <c r="AW26" s="2">
        <f t="shared" si="15"/>
        <v>8500</v>
      </c>
      <c r="AX26" s="2"/>
      <c r="AY26" s="2"/>
      <c r="AZ26" s="2"/>
      <c r="BA26" s="2"/>
    </row>
    <row r="27" spans="1:53" ht="13.5">
      <c r="A27" s="14"/>
      <c r="B27" s="22"/>
      <c r="C27" s="74"/>
      <c r="D27" s="74"/>
      <c r="E27" s="74"/>
      <c r="F27" s="74"/>
      <c r="G27" s="114"/>
      <c r="H27" s="115"/>
      <c r="I27" s="116"/>
      <c r="J27" s="23"/>
      <c r="K27" s="23"/>
      <c r="L27" s="87"/>
      <c r="M27" s="87"/>
      <c r="N27" s="87"/>
      <c r="O27" s="87"/>
      <c r="P27" s="95"/>
      <c r="Q27" s="96"/>
      <c r="R27" s="97"/>
      <c r="S27" s="24"/>
      <c r="T27" s="14"/>
      <c r="X27">
        <f t="shared" si="0"/>
        <v>32</v>
      </c>
      <c r="AA27" s="54">
        <f t="shared" si="9"/>
        <v>19</v>
      </c>
      <c r="AB27" s="55">
        <f t="shared" si="10"/>
      </c>
      <c r="AC27" s="55">
        <f t="shared" si="11"/>
      </c>
      <c r="AD27" s="63">
        <f t="shared" si="12"/>
      </c>
      <c r="AE27" s="57">
        <f t="shared" si="13"/>
      </c>
      <c r="AF27" s="67">
        <f t="shared" si="2"/>
      </c>
      <c r="AG27" s="54">
        <f t="shared" si="3"/>
      </c>
      <c r="AH27" s="54"/>
      <c r="AI27" s="57">
        <f t="shared" si="4"/>
      </c>
      <c r="AJ27" s="57">
        <f t="shared" si="5"/>
      </c>
      <c r="AK27" s="57">
        <f t="shared" si="6"/>
      </c>
      <c r="AM27" s="54">
        <f t="shared" si="14"/>
      </c>
      <c r="AN27" s="61">
        <f t="shared" si="7"/>
      </c>
      <c r="AQ27" s="57">
        <f t="shared" si="1"/>
      </c>
      <c r="AR27" s="69">
        <f t="shared" si="8"/>
      </c>
      <c r="AS27">
        <f>IF(AA27&lt;=$G$30,_XLL.TIR.NO.PER($AQ$8:AQ27,$AR$8:AR27),"")</f>
      </c>
      <c r="AU27" s="6">
        <v>29</v>
      </c>
      <c r="AV27" s="72">
        <v>1.75</v>
      </c>
      <c r="AW27" s="2">
        <f t="shared" si="15"/>
        <v>8750</v>
      </c>
      <c r="AX27" s="2"/>
      <c r="AY27" s="2"/>
      <c r="AZ27" s="2"/>
      <c r="BA27" s="2"/>
    </row>
    <row r="28" spans="1:53" ht="13.5">
      <c r="A28" s="14"/>
      <c r="B28" s="22"/>
      <c r="C28" s="25"/>
      <c r="D28" s="23"/>
      <c r="E28" s="23"/>
      <c r="F28" s="26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14"/>
      <c r="X28">
        <f t="shared" si="0"/>
        <v>33</v>
      </c>
      <c r="AA28" s="54">
        <f t="shared" si="9"/>
        <v>20</v>
      </c>
      <c r="AB28" s="55">
        <f t="shared" si="10"/>
      </c>
      <c r="AC28" s="55">
        <f t="shared" si="11"/>
      </c>
      <c r="AD28" s="63">
        <f t="shared" si="12"/>
      </c>
      <c r="AE28" s="57">
        <f t="shared" si="13"/>
      </c>
      <c r="AF28" s="67">
        <f t="shared" si="2"/>
      </c>
      <c r="AG28" s="54">
        <f t="shared" si="3"/>
      </c>
      <c r="AH28" s="54"/>
      <c r="AI28" s="57">
        <f t="shared" si="4"/>
      </c>
      <c r="AJ28" s="57">
        <f t="shared" si="5"/>
      </c>
      <c r="AK28" s="57">
        <f t="shared" si="6"/>
      </c>
      <c r="AM28" s="54">
        <f t="shared" si="14"/>
      </c>
      <c r="AN28" s="61">
        <f t="shared" si="7"/>
      </c>
      <c r="AQ28" s="57">
        <f t="shared" si="1"/>
      </c>
      <c r="AR28" s="69">
        <f t="shared" si="8"/>
      </c>
      <c r="AS28">
        <f>IF(AA28&lt;=$G$30,_XLL.TIR.NO.PER($AQ$8:AQ28,$AR$8:AR28),"")</f>
      </c>
      <c r="AU28" s="6">
        <v>30</v>
      </c>
      <c r="AV28" s="72">
        <v>1.78</v>
      </c>
      <c r="AW28" s="2">
        <f t="shared" si="15"/>
        <v>8900</v>
      </c>
      <c r="AX28" s="2"/>
      <c r="AY28" s="2"/>
      <c r="AZ28" s="2"/>
      <c r="BA28" s="2"/>
    </row>
    <row r="29" spans="1:53" ht="13.5">
      <c r="A29" s="14"/>
      <c r="B29" s="22"/>
      <c r="C29" s="25"/>
      <c r="D29" s="23"/>
      <c r="E29" s="23"/>
      <c r="F29" s="2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14"/>
      <c r="X29">
        <f t="shared" si="0"/>
        <v>34</v>
      </c>
      <c r="AA29" s="54">
        <f t="shared" si="9"/>
        <v>21</v>
      </c>
      <c r="AB29" s="55">
        <f t="shared" si="10"/>
      </c>
      <c r="AC29" s="55">
        <f t="shared" si="11"/>
      </c>
      <c r="AD29" s="63">
        <f t="shared" si="12"/>
      </c>
      <c r="AE29" s="57">
        <f t="shared" si="13"/>
      </c>
      <c r="AF29" s="67">
        <f t="shared" si="2"/>
      </c>
      <c r="AG29" s="54">
        <f t="shared" si="3"/>
      </c>
      <c r="AH29" s="54"/>
      <c r="AI29" s="57">
        <f t="shared" si="4"/>
      </c>
      <c r="AJ29" s="57">
        <f t="shared" si="5"/>
      </c>
      <c r="AK29" s="57">
        <f t="shared" si="6"/>
      </c>
      <c r="AM29" s="54">
        <f t="shared" si="14"/>
      </c>
      <c r="AN29" s="61">
        <f t="shared" si="7"/>
      </c>
      <c r="AQ29" s="57">
        <f t="shared" si="1"/>
      </c>
      <c r="AR29" s="69">
        <f t="shared" si="8"/>
      </c>
      <c r="AS29">
        <f>IF(AA29&lt;=$G$30,_XLL.TIR.NO.PER($AQ$8:AQ29,$AR$8:AR29),"")</f>
      </c>
      <c r="AU29" s="6">
        <v>31</v>
      </c>
      <c r="AV29" s="72">
        <v>1.8</v>
      </c>
      <c r="AW29" s="2">
        <f t="shared" si="15"/>
        <v>9000</v>
      </c>
      <c r="AX29" s="2"/>
      <c r="AY29" s="2"/>
      <c r="AZ29" s="2"/>
      <c r="BA29" s="2"/>
    </row>
    <row r="30" spans="1:53" ht="13.5">
      <c r="A30" s="14"/>
      <c r="B30" s="22"/>
      <c r="C30" s="118" t="s">
        <v>18</v>
      </c>
      <c r="D30" s="118"/>
      <c r="E30" s="118"/>
      <c r="F30" s="118"/>
      <c r="G30" s="119">
        <v>12</v>
      </c>
      <c r="H30" s="119"/>
      <c r="I30" s="119"/>
      <c r="J30" s="23"/>
      <c r="K30" s="23"/>
      <c r="L30" s="23"/>
      <c r="M30" s="23"/>
      <c r="N30" s="23"/>
      <c r="O30" s="23"/>
      <c r="P30" s="23"/>
      <c r="Q30" s="23"/>
      <c r="R30" s="23"/>
      <c r="S30" s="24"/>
      <c r="T30" s="14"/>
      <c r="X30">
        <f t="shared" si="0"/>
        <v>35</v>
      </c>
      <c r="AA30" s="54">
        <f t="shared" si="9"/>
        <v>22</v>
      </c>
      <c r="AB30" s="55">
        <f t="shared" si="10"/>
      </c>
      <c r="AC30" s="55">
        <f t="shared" si="11"/>
      </c>
      <c r="AD30" s="63">
        <f t="shared" si="12"/>
      </c>
      <c r="AE30" s="57">
        <f t="shared" si="13"/>
      </c>
      <c r="AF30" s="67">
        <f t="shared" si="2"/>
      </c>
      <c r="AG30" s="54">
        <f t="shared" si="3"/>
      </c>
      <c r="AH30" s="54"/>
      <c r="AI30" s="57">
        <f t="shared" si="4"/>
      </c>
      <c r="AJ30" s="57">
        <f t="shared" si="5"/>
      </c>
      <c r="AK30" s="57">
        <f t="shared" si="6"/>
      </c>
      <c r="AM30" s="54">
        <f t="shared" si="14"/>
      </c>
      <c r="AN30" s="61">
        <f t="shared" si="7"/>
      </c>
      <c r="AQ30" s="57">
        <f t="shared" si="1"/>
      </c>
      <c r="AR30" s="69">
        <f t="shared" si="8"/>
      </c>
      <c r="AS30">
        <f>IF(AA30&lt;=$G$30,_XLL.TIR.NO.PER($AQ$8:AQ30,$AR$8:AR30),"")</f>
      </c>
      <c r="AU30" s="6">
        <v>32</v>
      </c>
      <c r="AV30" s="72">
        <v>1.85</v>
      </c>
      <c r="AW30" s="2">
        <f t="shared" si="15"/>
        <v>9250</v>
      </c>
      <c r="AX30" s="2"/>
      <c r="AY30" s="2"/>
      <c r="AZ30" s="2"/>
      <c r="BA30" s="2"/>
    </row>
    <row r="31" spans="1:53" ht="13.5">
      <c r="A31" s="14"/>
      <c r="B31" s="22"/>
      <c r="C31" s="118"/>
      <c r="D31" s="118"/>
      <c r="E31" s="118"/>
      <c r="F31" s="118"/>
      <c r="G31" s="119"/>
      <c r="H31" s="119"/>
      <c r="I31" s="119"/>
      <c r="J31" s="23"/>
      <c r="K31" s="23"/>
      <c r="L31" s="23"/>
      <c r="M31" s="23"/>
      <c r="N31" s="23"/>
      <c r="O31" s="23"/>
      <c r="P31" s="23"/>
      <c r="Q31" s="23"/>
      <c r="R31" s="23"/>
      <c r="S31" s="24"/>
      <c r="T31" s="14"/>
      <c r="X31">
        <f t="shared" si="0"/>
        <v>36</v>
      </c>
      <c r="AA31" s="54">
        <f t="shared" si="9"/>
        <v>23</v>
      </c>
      <c r="AB31" s="55">
        <f t="shared" si="10"/>
      </c>
      <c r="AC31" s="55">
        <f t="shared" si="11"/>
      </c>
      <c r="AD31" s="63">
        <f t="shared" si="12"/>
      </c>
      <c r="AE31" s="57">
        <f t="shared" si="13"/>
      </c>
      <c r="AF31" s="67">
        <f t="shared" si="2"/>
      </c>
      <c r="AG31" s="54">
        <f t="shared" si="3"/>
      </c>
      <c r="AH31" s="54"/>
      <c r="AI31" s="57">
        <f t="shared" si="4"/>
      </c>
      <c r="AJ31" s="57">
        <f t="shared" si="5"/>
      </c>
      <c r="AK31" s="57">
        <f t="shared" si="6"/>
      </c>
      <c r="AM31" s="54">
        <f t="shared" si="14"/>
      </c>
      <c r="AN31" s="61">
        <f t="shared" si="7"/>
      </c>
      <c r="AQ31" s="57">
        <f t="shared" si="1"/>
      </c>
      <c r="AR31" s="69">
        <f t="shared" si="8"/>
      </c>
      <c r="AS31">
        <f>IF(AA31&lt;=$G$30,_XLL.TIR.NO.PER($AQ$8:AQ31,$AR$8:AR31),"")</f>
      </c>
      <c r="AU31" s="6">
        <v>33</v>
      </c>
      <c r="AV31" s="72">
        <v>1.88</v>
      </c>
      <c r="AW31" s="2">
        <f t="shared" si="15"/>
        <v>9400</v>
      </c>
      <c r="AX31" s="2"/>
      <c r="AY31" s="2"/>
      <c r="AZ31" s="2"/>
      <c r="BA31" s="2"/>
    </row>
    <row r="32" spans="1:53" ht="13.5">
      <c r="A32" s="14"/>
      <c r="B32" s="22"/>
      <c r="C32" s="118"/>
      <c r="D32" s="118"/>
      <c r="E32" s="118"/>
      <c r="F32" s="118"/>
      <c r="G32" s="119"/>
      <c r="H32" s="119"/>
      <c r="I32" s="119"/>
      <c r="J32" s="23"/>
      <c r="K32" s="23"/>
      <c r="L32" s="23"/>
      <c r="M32" s="23"/>
      <c r="N32" s="23"/>
      <c r="O32" s="23"/>
      <c r="P32" s="23"/>
      <c r="Q32" s="23"/>
      <c r="R32" s="23"/>
      <c r="S32" s="24"/>
      <c r="T32" s="14"/>
      <c r="X32">
        <f t="shared" si="0"/>
        <v>37</v>
      </c>
      <c r="AA32" s="54">
        <f t="shared" si="9"/>
        <v>24</v>
      </c>
      <c r="AB32" s="55">
        <f t="shared" si="10"/>
      </c>
      <c r="AC32" s="55">
        <f t="shared" si="11"/>
      </c>
      <c r="AD32" s="63">
        <f t="shared" si="12"/>
      </c>
      <c r="AE32" s="57">
        <f t="shared" si="13"/>
      </c>
      <c r="AF32" s="67">
        <f t="shared" si="2"/>
      </c>
      <c r="AG32" s="54">
        <f t="shared" si="3"/>
      </c>
      <c r="AH32" s="54"/>
      <c r="AI32" s="57">
        <f t="shared" si="4"/>
      </c>
      <c r="AJ32" s="57">
        <f t="shared" si="5"/>
      </c>
      <c r="AK32" s="57">
        <f t="shared" si="6"/>
      </c>
      <c r="AM32" s="54">
        <f t="shared" si="14"/>
      </c>
      <c r="AN32" s="61">
        <f t="shared" si="7"/>
      </c>
      <c r="AQ32" s="57">
        <f t="shared" si="1"/>
      </c>
      <c r="AR32" s="69">
        <f t="shared" si="8"/>
      </c>
      <c r="AS32">
        <f>IF(AA32&lt;=$G$30,_XLL.TIR.NO.PER($AQ$8:AQ32,$AR$8:AR32),"")</f>
      </c>
      <c r="AU32" s="6">
        <v>34</v>
      </c>
      <c r="AV32" s="72">
        <v>1.9</v>
      </c>
      <c r="AW32" s="2">
        <f t="shared" si="15"/>
        <v>9500</v>
      </c>
      <c r="AX32" s="2"/>
      <c r="AY32" s="2"/>
      <c r="AZ32" s="2"/>
      <c r="BA32" s="2"/>
    </row>
    <row r="33" spans="1:53" ht="13.5">
      <c r="A33" s="14"/>
      <c r="B33" s="22"/>
      <c r="C33" s="14"/>
      <c r="D33" s="14"/>
      <c r="E33" s="14"/>
      <c r="F33" s="16"/>
      <c r="G33" s="14"/>
      <c r="H33" s="14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4"/>
      <c r="T33" s="14"/>
      <c r="X33">
        <f t="shared" si="0"/>
        <v>38</v>
      </c>
      <c r="AA33" s="54">
        <f t="shared" si="9"/>
        <v>25</v>
      </c>
      <c r="AB33" s="55">
        <f t="shared" si="10"/>
      </c>
      <c r="AC33" s="55">
        <f t="shared" si="11"/>
      </c>
      <c r="AD33" s="63">
        <f t="shared" si="12"/>
      </c>
      <c r="AE33" s="57">
        <f t="shared" si="13"/>
      </c>
      <c r="AF33" s="67">
        <f t="shared" si="2"/>
      </c>
      <c r="AG33" s="54">
        <f t="shared" si="3"/>
      </c>
      <c r="AH33" s="54"/>
      <c r="AI33" s="57">
        <f t="shared" si="4"/>
      </c>
      <c r="AJ33" s="57">
        <f t="shared" si="5"/>
      </c>
      <c r="AK33" s="57">
        <f t="shared" si="6"/>
      </c>
      <c r="AM33" s="54">
        <f t="shared" si="14"/>
      </c>
      <c r="AN33" s="61">
        <f t="shared" si="7"/>
      </c>
      <c r="AQ33" s="57">
        <f t="shared" si="1"/>
      </c>
      <c r="AR33" s="69">
        <f t="shared" si="8"/>
      </c>
      <c r="AS33">
        <f>IF(AA33&lt;=$G$30,_XLL.TIR.NO.PER($AQ$8:AQ33,$AR$8:AR33),"")</f>
      </c>
      <c r="AU33" s="6">
        <v>35</v>
      </c>
      <c r="AV33" s="72">
        <v>1.95</v>
      </c>
      <c r="AW33" s="2">
        <f t="shared" si="15"/>
        <v>9750</v>
      </c>
      <c r="AX33" s="2"/>
      <c r="AY33" s="2"/>
      <c r="AZ33" s="2"/>
      <c r="BA33" s="2"/>
    </row>
    <row r="34" spans="1:53" ht="15" thickBot="1">
      <c r="A34" s="14"/>
      <c r="B34" s="22"/>
      <c r="C34" s="73" t="s">
        <v>19</v>
      </c>
      <c r="D34" s="73"/>
      <c r="E34" s="73"/>
      <c r="F34" s="73"/>
      <c r="G34" s="104">
        <f>IF(G20&lt;=23,G17,IF(G17&lt;=5000,5000,_xlfn.IFERROR(IF(G8="Préstamo Efectivo",VLOOKUP(G30,$AU$10:$AW$46,3,0),IF(G8="Consolidación de Deuda",VLOOKUP(G30,$AU$10:$AW$46,3,0),IF(G8="Préstamo Senior",VLOOKUP(G30,$AY$10:$BA$22,3,0)))),"")))</f>
        <v>10000</v>
      </c>
      <c r="H34" s="105"/>
      <c r="I34" s="106"/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14"/>
      <c r="X34">
        <f t="shared" si="0"/>
        <v>39</v>
      </c>
      <c r="AA34" s="54">
        <f t="shared" si="9"/>
        <v>26</v>
      </c>
      <c r="AB34" s="55">
        <f t="shared" si="10"/>
      </c>
      <c r="AC34" s="55">
        <f t="shared" si="11"/>
      </c>
      <c r="AD34" s="63">
        <f t="shared" si="12"/>
      </c>
      <c r="AE34" s="57">
        <f t="shared" si="13"/>
      </c>
      <c r="AF34" s="67">
        <f t="shared" si="2"/>
      </c>
      <c r="AG34" s="54">
        <f t="shared" si="3"/>
      </c>
      <c r="AH34" s="54"/>
      <c r="AI34" s="57">
        <f t="shared" si="4"/>
      </c>
      <c r="AJ34" s="57">
        <f t="shared" si="5"/>
      </c>
      <c r="AK34" s="57">
        <f t="shared" si="6"/>
      </c>
      <c r="AM34" s="54">
        <f t="shared" si="14"/>
      </c>
      <c r="AN34" s="61">
        <f t="shared" si="7"/>
      </c>
      <c r="AQ34" s="57">
        <f t="shared" si="1"/>
      </c>
      <c r="AR34" s="69">
        <f t="shared" si="8"/>
      </c>
      <c r="AS34">
        <f>IF(AA34&lt;=$G$30,_XLL.TIR.NO.PER($AQ$8:AQ34,$AR$8:AR34),"")</f>
      </c>
      <c r="AU34" s="8">
        <v>36</v>
      </c>
      <c r="AV34" s="9">
        <v>2</v>
      </c>
      <c r="AW34" s="2">
        <f t="shared" si="15"/>
        <v>10000</v>
      </c>
      <c r="AX34" s="2"/>
      <c r="AY34" s="2"/>
      <c r="AZ34" s="2"/>
      <c r="BA34" s="2"/>
    </row>
    <row r="35" spans="1:53" ht="15" thickBot="1">
      <c r="A35" s="14"/>
      <c r="B35" s="22"/>
      <c r="C35" s="74"/>
      <c r="D35" s="74"/>
      <c r="E35" s="74"/>
      <c r="F35" s="74"/>
      <c r="G35" s="107"/>
      <c r="H35" s="108"/>
      <c r="I35" s="109"/>
      <c r="J35" s="23"/>
      <c r="K35" s="23"/>
      <c r="L35" s="23"/>
      <c r="M35" s="23"/>
      <c r="N35" s="23"/>
      <c r="O35" s="23"/>
      <c r="P35" s="23"/>
      <c r="Q35" s="23"/>
      <c r="R35" s="23"/>
      <c r="S35" s="24"/>
      <c r="T35" s="14"/>
      <c r="X35">
        <f t="shared" si="0"/>
        <v>40</v>
      </c>
      <c r="AA35" s="54">
        <f t="shared" si="9"/>
        <v>27</v>
      </c>
      <c r="AB35" s="55">
        <f t="shared" si="10"/>
      </c>
      <c r="AC35" s="55">
        <f t="shared" si="11"/>
      </c>
      <c r="AD35" s="63">
        <f t="shared" si="12"/>
      </c>
      <c r="AE35" s="57">
        <f t="shared" si="13"/>
      </c>
      <c r="AF35" s="67">
        <f t="shared" si="2"/>
      </c>
      <c r="AG35" s="54">
        <f t="shared" si="3"/>
      </c>
      <c r="AH35" s="54"/>
      <c r="AI35" s="57">
        <f t="shared" si="4"/>
      </c>
      <c r="AJ35" s="57">
        <f t="shared" si="5"/>
      </c>
      <c r="AK35" s="57">
        <f t="shared" si="6"/>
      </c>
      <c r="AM35" s="54">
        <f t="shared" si="14"/>
      </c>
      <c r="AN35" s="61">
        <f t="shared" si="7"/>
      </c>
      <c r="AQ35" s="57">
        <f t="shared" si="1"/>
      </c>
      <c r="AR35" s="69">
        <f t="shared" si="8"/>
      </c>
      <c r="AS35">
        <f>IF(AA35&lt;=$G$30,_XLL.TIR.NO.PER($AQ$8:AQ35,$AR$8:AR35),"")</f>
      </c>
      <c r="AU35" s="6">
        <v>37</v>
      </c>
      <c r="AV35" s="9">
        <v>2</v>
      </c>
      <c r="AW35" s="2">
        <f t="shared" si="15"/>
        <v>10000</v>
      </c>
      <c r="AX35" s="2"/>
      <c r="AY35" s="2"/>
      <c r="AZ35" s="2"/>
      <c r="BA35" s="2"/>
    </row>
    <row r="36" spans="1:53" ht="15" thickBot="1">
      <c r="A36" s="14"/>
      <c r="B36" s="22"/>
      <c r="C36" s="25"/>
      <c r="D36" s="23"/>
      <c r="E36" s="23"/>
      <c r="F36" s="26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  <c r="T36" s="14"/>
      <c r="X36">
        <f t="shared" si="0"/>
        <v>41</v>
      </c>
      <c r="AA36" s="54">
        <f t="shared" si="9"/>
        <v>28</v>
      </c>
      <c r="AB36" s="55">
        <f t="shared" si="10"/>
      </c>
      <c r="AC36" s="55">
        <f t="shared" si="11"/>
      </c>
      <c r="AD36" s="63">
        <f t="shared" si="12"/>
      </c>
      <c r="AE36" s="57">
        <f t="shared" si="13"/>
      </c>
      <c r="AF36" s="67">
        <f t="shared" si="2"/>
      </c>
      <c r="AG36" s="54">
        <f t="shared" si="3"/>
      </c>
      <c r="AH36" s="54"/>
      <c r="AI36" s="57">
        <f t="shared" si="4"/>
      </c>
      <c r="AJ36" s="57">
        <f t="shared" si="5"/>
      </c>
      <c r="AK36" s="57">
        <f t="shared" si="6"/>
      </c>
      <c r="AM36" s="54">
        <f t="shared" si="14"/>
      </c>
      <c r="AN36" s="61">
        <f t="shared" si="7"/>
      </c>
      <c r="AQ36" s="57">
        <f t="shared" si="1"/>
      </c>
      <c r="AR36" s="69">
        <f t="shared" si="8"/>
      </c>
      <c r="AS36">
        <f>IF(AA36&lt;=$G$30,_XLL.TIR.NO.PER($AQ$8:AQ36,$AR$8:AR36),"")</f>
      </c>
      <c r="AU36" s="8">
        <v>38</v>
      </c>
      <c r="AV36" s="9">
        <v>2</v>
      </c>
      <c r="AW36" s="2">
        <f t="shared" si="15"/>
        <v>10000</v>
      </c>
      <c r="AX36" s="2"/>
      <c r="AY36" s="2"/>
      <c r="AZ36" s="2"/>
      <c r="BA36" s="2"/>
    </row>
    <row r="37" spans="1:53" ht="15" thickBot="1">
      <c r="A37" s="14"/>
      <c r="B37" s="30"/>
      <c r="C37" s="31"/>
      <c r="D37" s="32"/>
      <c r="E37" s="32"/>
      <c r="F37" s="3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4"/>
      <c r="T37" s="14"/>
      <c r="X37">
        <f t="shared" si="0"/>
        <v>42</v>
      </c>
      <c r="AA37" s="54">
        <f t="shared" si="9"/>
        <v>29</v>
      </c>
      <c r="AB37" s="55">
        <f t="shared" si="10"/>
      </c>
      <c r="AC37" s="55">
        <f t="shared" si="11"/>
      </c>
      <c r="AD37" s="63">
        <f t="shared" si="12"/>
      </c>
      <c r="AE37" s="57">
        <f t="shared" si="13"/>
      </c>
      <c r="AF37" s="67">
        <f t="shared" si="2"/>
      </c>
      <c r="AG37" s="54">
        <f t="shared" si="3"/>
      </c>
      <c r="AH37" s="54"/>
      <c r="AI37" s="57">
        <f t="shared" si="4"/>
      </c>
      <c r="AJ37" s="57">
        <f t="shared" si="5"/>
      </c>
      <c r="AK37" s="57">
        <f t="shared" si="6"/>
      </c>
      <c r="AM37" s="54">
        <f t="shared" si="14"/>
      </c>
      <c r="AN37" s="61">
        <f t="shared" si="7"/>
      </c>
      <c r="AQ37" s="57">
        <f t="shared" si="1"/>
      </c>
      <c r="AR37" s="69">
        <f t="shared" si="8"/>
      </c>
      <c r="AS37">
        <f>IF(AA37&lt;=$G$30,_XLL.TIR.NO.PER($AQ$8:AQ37,$AR$8:AR37),"")</f>
      </c>
      <c r="AU37" s="6">
        <v>39</v>
      </c>
      <c r="AV37" s="9">
        <v>2</v>
      </c>
      <c r="AW37" s="2">
        <f t="shared" si="15"/>
        <v>10000</v>
      </c>
      <c r="AX37" s="2"/>
      <c r="AY37" s="2"/>
      <c r="AZ37" s="2"/>
      <c r="BA37" s="2"/>
    </row>
    <row r="38" spans="1:53" ht="15" thickBot="1">
      <c r="A38" s="14"/>
      <c r="B38" s="35"/>
      <c r="C38" s="25"/>
      <c r="D38" s="23"/>
      <c r="E38" s="23"/>
      <c r="F38" s="26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4"/>
      <c r="X38">
        <f t="shared" si="0"/>
        <v>43</v>
      </c>
      <c r="AA38" s="54">
        <f t="shared" si="9"/>
        <v>30</v>
      </c>
      <c r="AB38" s="55">
        <f t="shared" si="10"/>
      </c>
      <c r="AC38" s="55">
        <f t="shared" si="11"/>
      </c>
      <c r="AD38" s="63">
        <f t="shared" si="12"/>
      </c>
      <c r="AE38" s="57">
        <f t="shared" si="13"/>
      </c>
      <c r="AF38" s="67">
        <f t="shared" si="2"/>
      </c>
      <c r="AG38" s="54">
        <f t="shared" si="3"/>
      </c>
      <c r="AH38" s="54"/>
      <c r="AI38" s="57">
        <f t="shared" si="4"/>
      </c>
      <c r="AJ38" s="57">
        <f t="shared" si="5"/>
      </c>
      <c r="AK38" s="57">
        <f t="shared" si="6"/>
      </c>
      <c r="AM38" s="54">
        <f t="shared" si="14"/>
      </c>
      <c r="AN38" s="61">
        <f t="shared" si="7"/>
      </c>
      <c r="AQ38" s="57">
        <f t="shared" si="1"/>
      </c>
      <c r="AR38" s="69">
        <f t="shared" si="8"/>
      </c>
      <c r="AS38">
        <f>IF(AA38&lt;=$G$30,_XLL.TIR.NO.PER($AQ$8:AQ38,$AR$8:AR38),"")</f>
      </c>
      <c r="AU38" s="8">
        <v>40</v>
      </c>
      <c r="AV38" s="9">
        <v>2</v>
      </c>
      <c r="AW38" s="2">
        <f t="shared" si="15"/>
        <v>10000</v>
      </c>
      <c r="AX38" s="2"/>
      <c r="AY38" s="2"/>
      <c r="AZ38" s="2"/>
      <c r="BA38" s="2"/>
    </row>
    <row r="39" spans="1:53" ht="15" thickBot="1">
      <c r="A39" s="14"/>
      <c r="B39" s="14"/>
      <c r="C39" s="15"/>
      <c r="D39" s="14"/>
      <c r="E39" s="14"/>
      <c r="F39" s="1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X39">
        <f t="shared" si="0"/>
        <v>44</v>
      </c>
      <c r="AA39" s="54">
        <f t="shared" si="9"/>
        <v>31</v>
      </c>
      <c r="AB39" s="55">
        <f t="shared" si="10"/>
      </c>
      <c r="AC39" s="55">
        <f t="shared" si="11"/>
      </c>
      <c r="AD39" s="63">
        <f t="shared" si="12"/>
      </c>
      <c r="AE39" s="57">
        <f t="shared" si="13"/>
      </c>
      <c r="AF39" s="67">
        <f t="shared" si="2"/>
      </c>
      <c r="AG39" s="54">
        <f t="shared" si="3"/>
      </c>
      <c r="AH39" s="54"/>
      <c r="AI39" s="57">
        <f t="shared" si="4"/>
      </c>
      <c r="AJ39" s="57">
        <f t="shared" si="5"/>
      </c>
      <c r="AK39" s="57">
        <f t="shared" si="6"/>
      </c>
      <c r="AM39" s="54">
        <f t="shared" si="14"/>
      </c>
      <c r="AN39" s="61">
        <f t="shared" si="7"/>
      </c>
      <c r="AQ39" s="57">
        <f t="shared" si="1"/>
      </c>
      <c r="AR39" s="69">
        <f t="shared" si="8"/>
      </c>
      <c r="AS39">
        <f>IF(AA39&lt;=$G$30,_XLL.TIR.NO.PER($AQ$8:AQ39,$AR$8:AR39),"")</f>
      </c>
      <c r="AU39" s="6">
        <v>41</v>
      </c>
      <c r="AV39" s="9">
        <v>2</v>
      </c>
      <c r="AW39" s="2">
        <f t="shared" si="15"/>
        <v>10000</v>
      </c>
      <c r="AX39" s="2"/>
      <c r="AY39" s="2"/>
      <c r="AZ39" s="2"/>
      <c r="BA39" s="2"/>
    </row>
    <row r="40" spans="1:53" ht="15" thickBot="1">
      <c r="A40" s="14"/>
      <c r="B40" s="17"/>
      <c r="C40" s="18"/>
      <c r="D40" s="19"/>
      <c r="E40" s="19"/>
      <c r="F40" s="20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1"/>
      <c r="T40" s="14"/>
      <c r="X40">
        <f t="shared" si="0"/>
        <v>45</v>
      </c>
      <c r="AA40" s="54">
        <f t="shared" si="9"/>
        <v>32</v>
      </c>
      <c r="AB40" s="55">
        <f t="shared" si="10"/>
      </c>
      <c r="AC40" s="55">
        <f t="shared" si="11"/>
      </c>
      <c r="AD40" s="63">
        <f t="shared" si="12"/>
      </c>
      <c r="AE40" s="57">
        <f t="shared" si="13"/>
      </c>
      <c r="AF40" s="67">
        <f t="shared" si="2"/>
      </c>
      <c r="AG40" s="54">
        <f t="shared" si="3"/>
      </c>
      <c r="AH40" s="54"/>
      <c r="AI40" s="57">
        <f t="shared" si="4"/>
      </c>
      <c r="AJ40" s="57">
        <f t="shared" si="5"/>
      </c>
      <c r="AK40" s="57">
        <f t="shared" si="6"/>
      </c>
      <c r="AM40" s="54">
        <f t="shared" si="14"/>
      </c>
      <c r="AN40" s="61">
        <f t="shared" si="7"/>
      </c>
      <c r="AQ40" s="57">
        <f t="shared" si="1"/>
      </c>
      <c r="AR40" s="69">
        <f t="shared" si="8"/>
      </c>
      <c r="AS40">
        <f>IF(AA40&lt;=$G$30,_XLL.TIR.NO.PER($AQ$8:AQ40,$AR$8:AR40),"")</f>
      </c>
      <c r="AU40" s="8">
        <v>42</v>
      </c>
      <c r="AV40" s="9">
        <v>2</v>
      </c>
      <c r="AW40" s="2">
        <f t="shared" si="15"/>
        <v>10000</v>
      </c>
      <c r="AX40" s="2"/>
      <c r="AY40" s="2"/>
      <c r="AZ40" s="2"/>
      <c r="BA40" s="2"/>
    </row>
    <row r="41" spans="1:53" ht="15" thickBot="1">
      <c r="A41" s="14"/>
      <c r="B41" s="120" t="s">
        <v>20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2"/>
      <c r="T41" s="14"/>
      <c r="X41">
        <f t="shared" si="0"/>
        <v>46</v>
      </c>
      <c r="AA41" s="54">
        <f t="shared" si="9"/>
        <v>33</v>
      </c>
      <c r="AB41" s="55">
        <f t="shared" si="10"/>
      </c>
      <c r="AC41" s="55">
        <f t="shared" si="11"/>
      </c>
      <c r="AD41" s="63">
        <f t="shared" si="12"/>
      </c>
      <c r="AE41" s="57">
        <f t="shared" si="13"/>
      </c>
      <c r="AF41" s="67">
        <f t="shared" si="2"/>
      </c>
      <c r="AG41" s="54">
        <f t="shared" si="3"/>
      </c>
      <c r="AH41" s="54"/>
      <c r="AI41" s="57">
        <f t="shared" si="4"/>
      </c>
      <c r="AJ41" s="57">
        <f t="shared" si="5"/>
      </c>
      <c r="AK41" s="57">
        <f t="shared" si="6"/>
      </c>
      <c r="AM41" s="54">
        <f t="shared" si="14"/>
      </c>
      <c r="AN41" s="61">
        <f t="shared" si="7"/>
      </c>
      <c r="AQ41" s="57">
        <f t="shared" si="1"/>
      </c>
      <c r="AR41" s="69">
        <f t="shared" si="8"/>
      </c>
      <c r="AS41">
        <f>IF(AA41&lt;=$G$30,_XLL.TIR.NO.PER($AQ$8:AQ41,$AR$8:AR41),"")</f>
      </c>
      <c r="AU41" s="6">
        <v>43</v>
      </c>
      <c r="AV41" s="9">
        <v>2</v>
      </c>
      <c r="AW41" s="2">
        <f t="shared" si="15"/>
        <v>10000</v>
      </c>
      <c r="AX41" s="2"/>
      <c r="AY41" s="2"/>
      <c r="AZ41" s="2"/>
      <c r="BA41" s="2"/>
    </row>
    <row r="42" spans="1:53" ht="15" thickBot="1">
      <c r="A42" s="14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2"/>
      <c r="T42" s="14"/>
      <c r="X42">
        <f t="shared" si="0"/>
        <v>47</v>
      </c>
      <c r="AA42" s="54">
        <f t="shared" si="9"/>
        <v>34</v>
      </c>
      <c r="AB42" s="55">
        <f t="shared" si="10"/>
      </c>
      <c r="AC42" s="55">
        <f t="shared" si="11"/>
      </c>
      <c r="AD42" s="63">
        <f t="shared" si="12"/>
      </c>
      <c r="AE42" s="57">
        <f t="shared" si="13"/>
      </c>
      <c r="AF42" s="67">
        <f t="shared" si="2"/>
      </c>
      <c r="AG42" s="54">
        <f t="shared" si="3"/>
      </c>
      <c r="AH42" s="54"/>
      <c r="AI42" s="57">
        <f t="shared" si="4"/>
      </c>
      <c r="AJ42" s="57">
        <f t="shared" si="5"/>
      </c>
      <c r="AK42" s="57">
        <f t="shared" si="6"/>
      </c>
      <c r="AM42" s="54">
        <f t="shared" si="14"/>
      </c>
      <c r="AN42" s="61">
        <f t="shared" si="7"/>
      </c>
      <c r="AQ42" s="57">
        <f t="shared" si="1"/>
      </c>
      <c r="AR42" s="69">
        <f t="shared" si="8"/>
      </c>
      <c r="AS42">
        <f>IF(AA42&lt;=$G$30,_XLL.TIR.NO.PER($AQ$8:AQ42,$AR$8:AR42),"")</f>
      </c>
      <c r="AU42" s="8">
        <v>44</v>
      </c>
      <c r="AV42" s="9">
        <v>2</v>
      </c>
      <c r="AW42" s="2">
        <f t="shared" si="15"/>
        <v>10000</v>
      </c>
      <c r="AX42" s="2"/>
      <c r="AY42" s="2"/>
      <c r="AZ42" s="2"/>
      <c r="BA42" s="2"/>
    </row>
    <row r="43" spans="1:53" ht="15" thickBot="1">
      <c r="A43" s="14"/>
      <c r="B43" s="22"/>
      <c r="C43" s="25"/>
      <c r="D43" s="23"/>
      <c r="E43" s="23"/>
      <c r="F43" s="2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14"/>
      <c r="X43">
        <f t="shared" si="0"/>
        <v>48</v>
      </c>
      <c r="AA43" s="54">
        <f t="shared" si="9"/>
        <v>35</v>
      </c>
      <c r="AB43" s="55">
        <f t="shared" si="10"/>
      </c>
      <c r="AC43" s="55">
        <f t="shared" si="11"/>
      </c>
      <c r="AD43" s="63">
        <f t="shared" si="12"/>
      </c>
      <c r="AE43" s="57">
        <f t="shared" si="13"/>
      </c>
      <c r="AF43" s="67">
        <f t="shared" si="2"/>
      </c>
      <c r="AG43" s="54">
        <f t="shared" si="3"/>
      </c>
      <c r="AH43" s="54"/>
      <c r="AI43" s="57">
        <f t="shared" si="4"/>
      </c>
      <c r="AJ43" s="57">
        <f t="shared" si="5"/>
      </c>
      <c r="AK43" s="57">
        <f t="shared" si="6"/>
      </c>
      <c r="AM43" s="54">
        <f t="shared" si="14"/>
      </c>
      <c r="AN43" s="61">
        <f t="shared" si="7"/>
      </c>
      <c r="AQ43" s="57">
        <f t="shared" si="1"/>
      </c>
      <c r="AR43" s="69">
        <f t="shared" si="8"/>
      </c>
      <c r="AS43">
        <f>IF(AA43&lt;=$G$30,_XLL.TIR.NO.PER($AQ$8:AQ43,$AR$8:AR43),"")</f>
      </c>
      <c r="AU43" s="6">
        <v>45</v>
      </c>
      <c r="AV43" s="9">
        <v>2</v>
      </c>
      <c r="AW43" s="2">
        <f t="shared" si="15"/>
        <v>10000</v>
      </c>
      <c r="AX43" s="2"/>
      <c r="AY43" s="2"/>
      <c r="AZ43" s="2"/>
      <c r="BA43" s="2"/>
    </row>
    <row r="44" spans="1:53" ht="15" thickBot="1">
      <c r="A44" s="36"/>
      <c r="B44" s="37"/>
      <c r="C44" s="38" t="s">
        <v>21</v>
      </c>
      <c r="D44" s="123" t="s">
        <v>22</v>
      </c>
      <c r="E44" s="123"/>
      <c r="F44" s="39" t="s">
        <v>23</v>
      </c>
      <c r="G44" s="123" t="s">
        <v>24</v>
      </c>
      <c r="H44" s="123"/>
      <c r="I44" s="124" t="s">
        <v>25</v>
      </c>
      <c r="J44" s="125"/>
      <c r="K44" s="124" t="s">
        <v>26</v>
      </c>
      <c r="L44" s="125"/>
      <c r="M44" s="123" t="s">
        <v>27</v>
      </c>
      <c r="N44" s="123"/>
      <c r="O44" s="124" t="s">
        <v>28</v>
      </c>
      <c r="P44" s="125"/>
      <c r="Q44" s="124" t="s">
        <v>1</v>
      </c>
      <c r="R44" s="125"/>
      <c r="S44" s="40"/>
      <c r="T44" s="36"/>
      <c r="AA44" s="54">
        <f t="shared" si="9"/>
        <v>36</v>
      </c>
      <c r="AB44" s="55">
        <f t="shared" si="10"/>
      </c>
      <c r="AC44" s="55">
        <f t="shared" si="11"/>
      </c>
      <c r="AD44" s="63">
        <f t="shared" si="12"/>
      </c>
      <c r="AE44" s="57">
        <f t="shared" si="13"/>
      </c>
      <c r="AF44" s="67">
        <f t="shared" si="2"/>
      </c>
      <c r="AG44" s="54">
        <f t="shared" si="3"/>
      </c>
      <c r="AH44" s="54"/>
      <c r="AI44" s="57">
        <f t="shared" si="4"/>
      </c>
      <c r="AJ44" s="57">
        <f t="shared" si="5"/>
      </c>
      <c r="AK44" s="57">
        <f t="shared" si="6"/>
      </c>
      <c r="AM44" s="54">
        <f t="shared" si="14"/>
      </c>
      <c r="AN44" s="61">
        <f t="shared" si="7"/>
      </c>
      <c r="AQ44" s="57">
        <f t="shared" si="1"/>
      </c>
      <c r="AR44" s="69">
        <f t="shared" si="8"/>
      </c>
      <c r="AS44">
        <f>IF(AA44&lt;=$G$30,_XLL.TIR.NO.PER($AQ$8:AQ44,$AR$8:AR44),"")</f>
      </c>
      <c r="AU44" s="8">
        <v>46</v>
      </c>
      <c r="AV44" s="9">
        <v>2</v>
      </c>
      <c r="AW44" s="2">
        <f t="shared" si="15"/>
        <v>10000</v>
      </c>
      <c r="AX44" s="2"/>
      <c r="AY44" s="2"/>
      <c r="AZ44" s="2"/>
      <c r="BA44" s="2"/>
    </row>
    <row r="45" spans="1:53" ht="15" thickBot="1">
      <c r="A45" s="14"/>
      <c r="B45" s="22"/>
      <c r="C45" s="41">
        <v>1</v>
      </c>
      <c r="D45" s="128">
        <f>+AC9</f>
        <v>43621</v>
      </c>
      <c r="E45" s="128"/>
      <c r="F45" s="42">
        <f aca="true" t="shared" si="17" ref="F45:F92">+AD9</f>
        <v>61</v>
      </c>
      <c r="G45" s="129">
        <f aca="true" t="shared" si="18" ref="G45:G92">+AE9</f>
        <v>10000</v>
      </c>
      <c r="H45" s="129"/>
      <c r="I45" s="129">
        <f>+AF9</f>
        <v>10</v>
      </c>
      <c r="J45" s="129"/>
      <c r="K45" s="130">
        <f>+AG9</f>
        <v>5</v>
      </c>
      <c r="L45" s="131"/>
      <c r="M45" s="132">
        <f>+AI9</f>
        <v>660.8645430224049</v>
      </c>
      <c r="N45" s="132"/>
      <c r="O45" s="126">
        <f>+AJ9</f>
        <v>253.74888944898143</v>
      </c>
      <c r="P45" s="127"/>
      <c r="Q45" s="126">
        <f>+AK9</f>
        <v>929.6134324713863</v>
      </c>
      <c r="R45" s="127"/>
      <c r="S45" s="24"/>
      <c r="T45" s="14"/>
      <c r="AA45" s="54">
        <f t="shared" si="9"/>
        <v>37</v>
      </c>
      <c r="AB45" s="55">
        <f t="shared" si="10"/>
      </c>
      <c r="AC45" s="55">
        <f t="shared" si="11"/>
      </c>
      <c r="AD45" s="63">
        <f t="shared" si="12"/>
      </c>
      <c r="AE45" s="57">
        <f t="shared" si="13"/>
      </c>
      <c r="AF45" s="67">
        <f t="shared" si="2"/>
      </c>
      <c r="AG45" s="54">
        <f t="shared" si="3"/>
      </c>
      <c r="AH45" s="54"/>
      <c r="AI45" s="57">
        <f t="shared" si="4"/>
      </c>
      <c r="AJ45" s="57">
        <f t="shared" si="5"/>
      </c>
      <c r="AK45" s="57">
        <f t="shared" si="6"/>
      </c>
      <c r="AM45" s="54">
        <f t="shared" si="14"/>
      </c>
      <c r="AN45" s="61">
        <f t="shared" si="7"/>
      </c>
      <c r="AQ45" s="57">
        <f t="shared" si="1"/>
      </c>
      <c r="AR45" s="69">
        <f t="shared" si="8"/>
      </c>
      <c r="AS45">
        <f>IF(AA45&lt;=$G$30,_XLL.TIR.NO.PER($AQ$8:AQ45,$AR$8:AR45),"")</f>
      </c>
      <c r="AU45" s="6">
        <v>47</v>
      </c>
      <c r="AV45" s="9">
        <v>2</v>
      </c>
      <c r="AW45" s="2">
        <f t="shared" si="15"/>
        <v>10000</v>
      </c>
      <c r="AX45" s="2"/>
      <c r="AY45" s="2"/>
      <c r="AZ45" s="2"/>
      <c r="BA45" s="2"/>
    </row>
    <row r="46" spans="1:53" ht="15" thickBot="1">
      <c r="A46" s="14"/>
      <c r="B46" s="22"/>
      <c r="C46" s="41">
        <v>2</v>
      </c>
      <c r="D46" s="128">
        <f aca="true" t="shared" si="19" ref="D46:D92">+AC10</f>
        <v>43651</v>
      </c>
      <c r="E46" s="128"/>
      <c r="F46" s="42">
        <f t="shared" si="17"/>
        <v>30</v>
      </c>
      <c r="G46" s="129">
        <f t="shared" si="18"/>
        <v>9339.135456977596</v>
      </c>
      <c r="H46" s="129"/>
      <c r="I46" s="129">
        <f aca="true" t="shared" si="20" ref="I46:I92">+AF10</f>
        <v>10</v>
      </c>
      <c r="J46" s="129"/>
      <c r="K46" s="130">
        <f aca="true" t="shared" si="21" ref="K46:K92">+AG10</f>
        <v>5</v>
      </c>
      <c r="L46" s="131"/>
      <c r="M46" s="132">
        <f aca="true" t="shared" si="22" ref="M46:M92">+AI10</f>
        <v>798.8081528048831</v>
      </c>
      <c r="N46" s="132"/>
      <c r="O46" s="126">
        <f aca="true" t="shared" si="23" ref="O46:O92">+AJ10</f>
        <v>115.80527966650321</v>
      </c>
      <c r="P46" s="127"/>
      <c r="Q46" s="126">
        <f aca="true" t="shared" si="24" ref="Q46:Q92">+AK10</f>
        <v>929.6134324713863</v>
      </c>
      <c r="R46" s="127"/>
      <c r="S46" s="24"/>
      <c r="T46" s="14"/>
      <c r="AA46" s="54">
        <f t="shared" si="9"/>
        <v>38</v>
      </c>
      <c r="AB46" s="55">
        <f t="shared" si="10"/>
      </c>
      <c r="AC46" s="55">
        <f t="shared" si="11"/>
      </c>
      <c r="AD46" s="63">
        <f t="shared" si="12"/>
      </c>
      <c r="AE46" s="57">
        <f t="shared" si="13"/>
      </c>
      <c r="AF46" s="67">
        <f t="shared" si="2"/>
      </c>
      <c r="AG46" s="54">
        <f t="shared" si="3"/>
      </c>
      <c r="AH46" s="54"/>
      <c r="AI46" s="57">
        <f t="shared" si="4"/>
      </c>
      <c r="AJ46" s="57">
        <f t="shared" si="5"/>
      </c>
      <c r="AK46" s="57">
        <f t="shared" si="6"/>
      </c>
      <c r="AM46" s="54">
        <f t="shared" si="14"/>
      </c>
      <c r="AN46" s="61">
        <f t="shared" si="7"/>
      </c>
      <c r="AQ46" s="57">
        <f t="shared" si="1"/>
      </c>
      <c r="AR46" s="69">
        <f t="shared" si="8"/>
      </c>
      <c r="AS46">
        <f>IF(AA46&lt;=$G$30,_XLL.TIR.NO.PER($AQ$8:AQ46,$AR$8:AR46),"")</f>
      </c>
      <c r="AU46" s="8">
        <v>48</v>
      </c>
      <c r="AV46" s="9">
        <v>2</v>
      </c>
      <c r="AW46" s="2">
        <f t="shared" si="15"/>
        <v>10000</v>
      </c>
      <c r="AX46" s="2"/>
      <c r="AY46" s="2"/>
      <c r="AZ46" s="2"/>
      <c r="BA46" s="2"/>
    </row>
    <row r="47" spans="1:45" ht="13.5">
      <c r="A47" s="14"/>
      <c r="B47" s="22"/>
      <c r="C47" s="41">
        <v>3</v>
      </c>
      <c r="D47" s="128">
        <f t="shared" si="19"/>
        <v>43682</v>
      </c>
      <c r="E47" s="128"/>
      <c r="F47" s="42">
        <f t="shared" si="17"/>
        <v>31</v>
      </c>
      <c r="G47" s="129">
        <f t="shared" si="18"/>
        <v>8540.327304172713</v>
      </c>
      <c r="H47" s="129"/>
      <c r="I47" s="129">
        <f t="shared" si="20"/>
        <v>10</v>
      </c>
      <c r="J47" s="129"/>
      <c r="K47" s="130">
        <f t="shared" si="21"/>
        <v>5</v>
      </c>
      <c r="L47" s="131"/>
      <c r="M47" s="132">
        <f t="shared" si="22"/>
        <v>805.1608462162108</v>
      </c>
      <c r="N47" s="132"/>
      <c r="O47" s="126">
        <f t="shared" si="23"/>
        <v>109.45258625517559</v>
      </c>
      <c r="P47" s="127"/>
      <c r="Q47" s="126">
        <f t="shared" si="24"/>
        <v>929.6134324713863</v>
      </c>
      <c r="R47" s="127"/>
      <c r="S47" s="24"/>
      <c r="T47" s="14"/>
      <c r="AA47" s="54">
        <f t="shared" si="9"/>
        <v>39</v>
      </c>
      <c r="AB47" s="55">
        <f t="shared" si="10"/>
      </c>
      <c r="AC47" s="55">
        <f t="shared" si="11"/>
      </c>
      <c r="AD47" s="63">
        <f t="shared" si="12"/>
      </c>
      <c r="AE47" s="57">
        <f t="shared" si="13"/>
      </c>
      <c r="AF47" s="67">
        <f t="shared" si="2"/>
      </c>
      <c r="AG47" s="54">
        <f t="shared" si="3"/>
      </c>
      <c r="AH47" s="54"/>
      <c r="AI47" s="57">
        <f t="shared" si="4"/>
      </c>
      <c r="AJ47" s="57">
        <f t="shared" si="5"/>
      </c>
      <c r="AK47" s="57">
        <f t="shared" si="6"/>
      </c>
      <c r="AM47" s="54">
        <f t="shared" si="14"/>
      </c>
      <c r="AN47" s="61">
        <f t="shared" si="7"/>
      </c>
      <c r="AQ47" s="57">
        <f t="shared" si="1"/>
      </c>
      <c r="AR47" s="69">
        <f t="shared" si="8"/>
      </c>
      <c r="AS47">
        <f>IF(AA47&lt;=$G$30,_XLL.TIR.NO.PER($AQ$8:AQ47,$AR$8:AR47),"")</f>
      </c>
    </row>
    <row r="48" spans="1:45" ht="13.5">
      <c r="A48" s="14"/>
      <c r="B48" s="22"/>
      <c r="C48" s="41">
        <v>4</v>
      </c>
      <c r="D48" s="128">
        <f t="shared" si="19"/>
        <v>43713</v>
      </c>
      <c r="E48" s="128"/>
      <c r="F48" s="42">
        <f t="shared" si="17"/>
        <v>31</v>
      </c>
      <c r="G48" s="129">
        <f t="shared" si="18"/>
        <v>7735.166457956502</v>
      </c>
      <c r="H48" s="129"/>
      <c r="I48" s="129">
        <f t="shared" si="20"/>
        <v>10</v>
      </c>
      <c r="J48" s="129"/>
      <c r="K48" s="130">
        <f t="shared" si="21"/>
        <v>5</v>
      </c>
      <c r="L48" s="131"/>
      <c r="M48" s="132">
        <f t="shared" si="22"/>
        <v>815.4797641957023</v>
      </c>
      <c r="N48" s="132"/>
      <c r="O48" s="126">
        <f t="shared" si="23"/>
        <v>99.13366827568409</v>
      </c>
      <c r="P48" s="127"/>
      <c r="Q48" s="126">
        <f t="shared" si="24"/>
        <v>929.6134324713863</v>
      </c>
      <c r="R48" s="127"/>
      <c r="S48" s="24"/>
      <c r="T48" s="14"/>
      <c r="AA48" s="54">
        <f t="shared" si="9"/>
        <v>40</v>
      </c>
      <c r="AB48" s="55">
        <f t="shared" si="10"/>
      </c>
      <c r="AC48" s="55">
        <f t="shared" si="11"/>
      </c>
      <c r="AD48" s="63">
        <f t="shared" si="12"/>
      </c>
      <c r="AE48" s="57">
        <f t="shared" si="13"/>
      </c>
      <c r="AF48" s="67">
        <f t="shared" si="2"/>
      </c>
      <c r="AG48" s="54">
        <f t="shared" si="3"/>
      </c>
      <c r="AH48" s="54"/>
      <c r="AI48" s="57">
        <f t="shared" si="4"/>
      </c>
      <c r="AJ48" s="57">
        <f t="shared" si="5"/>
      </c>
      <c r="AK48" s="57">
        <f t="shared" si="6"/>
      </c>
      <c r="AM48" s="54">
        <f t="shared" si="14"/>
      </c>
      <c r="AN48" s="61">
        <f t="shared" si="7"/>
      </c>
      <c r="AQ48" s="57">
        <f t="shared" si="1"/>
      </c>
      <c r="AR48" s="69">
        <f t="shared" si="8"/>
      </c>
      <c r="AS48">
        <f>IF(AA48&lt;=$G$30,_XLL.TIR.NO.PER($AQ$8:AQ48,$AR$8:AR48),"")</f>
      </c>
    </row>
    <row r="49" spans="1:45" ht="13.5">
      <c r="A49" s="14"/>
      <c r="B49" s="22"/>
      <c r="C49" s="41">
        <v>5</v>
      </c>
      <c r="D49" s="128">
        <f t="shared" si="19"/>
        <v>43743</v>
      </c>
      <c r="E49" s="128"/>
      <c r="F49" s="42">
        <f t="shared" si="17"/>
        <v>30</v>
      </c>
      <c r="G49" s="129">
        <f t="shared" si="18"/>
        <v>6919.6866937608</v>
      </c>
      <c r="H49" s="129"/>
      <c r="I49" s="129">
        <f t="shared" si="20"/>
        <v>10</v>
      </c>
      <c r="J49" s="129"/>
      <c r="K49" s="130">
        <f t="shared" si="21"/>
        <v>5</v>
      </c>
      <c r="L49" s="131"/>
      <c r="M49" s="132">
        <f t="shared" si="22"/>
        <v>828.8093174687665</v>
      </c>
      <c r="N49" s="132"/>
      <c r="O49" s="126">
        <f t="shared" si="23"/>
        <v>85.80411500261987</v>
      </c>
      <c r="P49" s="127"/>
      <c r="Q49" s="126">
        <f t="shared" si="24"/>
        <v>929.6134324713863</v>
      </c>
      <c r="R49" s="127"/>
      <c r="S49" s="24"/>
      <c r="T49" s="14"/>
      <c r="AA49" s="54">
        <f t="shared" si="9"/>
        <v>41</v>
      </c>
      <c r="AB49" s="55">
        <f t="shared" si="10"/>
      </c>
      <c r="AC49" s="55">
        <f t="shared" si="11"/>
      </c>
      <c r="AD49" s="63">
        <f t="shared" si="12"/>
      </c>
      <c r="AE49" s="57">
        <f t="shared" si="13"/>
      </c>
      <c r="AF49" s="67">
        <f t="shared" si="2"/>
      </c>
      <c r="AG49" s="54">
        <f t="shared" si="3"/>
      </c>
      <c r="AH49" s="54"/>
      <c r="AI49" s="57">
        <f t="shared" si="4"/>
      </c>
      <c r="AJ49" s="57">
        <f t="shared" si="5"/>
      </c>
      <c r="AK49" s="57">
        <f t="shared" si="6"/>
      </c>
      <c r="AM49" s="54">
        <f t="shared" si="14"/>
      </c>
      <c r="AN49" s="61">
        <f t="shared" si="7"/>
      </c>
      <c r="AQ49" s="57">
        <f t="shared" si="1"/>
      </c>
      <c r="AR49" s="69">
        <f t="shared" si="8"/>
      </c>
      <c r="AS49">
        <f>IF(AA49&lt;=$G$30,_XLL.TIR.NO.PER($AQ$8:AQ49,$AR$8:AR49),"")</f>
      </c>
    </row>
    <row r="50" spans="1:45" ht="13.5">
      <c r="A50" s="14"/>
      <c r="B50" s="22"/>
      <c r="C50" s="41">
        <v>6</v>
      </c>
      <c r="D50" s="128">
        <f t="shared" si="19"/>
        <v>43774</v>
      </c>
      <c r="E50" s="128"/>
      <c r="F50" s="42">
        <f t="shared" si="17"/>
        <v>31</v>
      </c>
      <c r="G50" s="129">
        <f t="shared" si="18"/>
        <v>6090.877376292034</v>
      </c>
      <c r="H50" s="129"/>
      <c r="I50" s="129">
        <f t="shared" si="20"/>
        <v>10</v>
      </c>
      <c r="J50" s="129"/>
      <c r="K50" s="130">
        <f t="shared" si="21"/>
        <v>5</v>
      </c>
      <c r="L50" s="131"/>
      <c r="M50" s="132">
        <f t="shared" si="22"/>
        <v>836.5529252268248</v>
      </c>
      <c r="N50" s="132"/>
      <c r="O50" s="126">
        <f t="shared" si="23"/>
        <v>78.0605072445616</v>
      </c>
      <c r="P50" s="127"/>
      <c r="Q50" s="126">
        <f t="shared" si="24"/>
        <v>929.6134324713863</v>
      </c>
      <c r="R50" s="127"/>
      <c r="S50" s="24"/>
      <c r="T50" s="14"/>
      <c r="AA50" s="54">
        <f t="shared" si="9"/>
        <v>42</v>
      </c>
      <c r="AB50" s="55">
        <f t="shared" si="10"/>
      </c>
      <c r="AC50" s="55">
        <f t="shared" si="11"/>
      </c>
      <c r="AD50" s="63">
        <f t="shared" si="12"/>
      </c>
      <c r="AE50" s="57">
        <f t="shared" si="13"/>
      </c>
      <c r="AF50" s="67">
        <f t="shared" si="2"/>
      </c>
      <c r="AG50" s="54">
        <f t="shared" si="3"/>
      </c>
      <c r="AH50" s="54"/>
      <c r="AI50" s="57">
        <f t="shared" si="4"/>
      </c>
      <c r="AJ50" s="57">
        <f t="shared" si="5"/>
      </c>
      <c r="AK50" s="57">
        <f t="shared" si="6"/>
      </c>
      <c r="AM50" s="54">
        <f t="shared" si="14"/>
      </c>
      <c r="AN50" s="61">
        <f t="shared" si="7"/>
      </c>
      <c r="AQ50" s="57">
        <f t="shared" si="1"/>
      </c>
      <c r="AR50" s="69">
        <f t="shared" si="8"/>
      </c>
      <c r="AS50">
        <f>IF(AA50&lt;=$G$30,_XLL.TIR.NO.PER($AQ$8:AQ50,$AR$8:AR50),"")</f>
      </c>
    </row>
    <row r="51" spans="1:45" ht="13.5">
      <c r="A51" s="14"/>
      <c r="B51" s="22"/>
      <c r="C51" s="41">
        <v>7</v>
      </c>
      <c r="D51" s="128">
        <f t="shared" si="19"/>
        <v>43804</v>
      </c>
      <c r="E51" s="128"/>
      <c r="F51" s="42">
        <f t="shared" si="17"/>
        <v>30</v>
      </c>
      <c r="G51" s="129">
        <f t="shared" si="18"/>
        <v>5254.324451065209</v>
      </c>
      <c r="H51" s="129"/>
      <c r="I51" s="129">
        <f t="shared" si="20"/>
        <v>10</v>
      </c>
      <c r="J51" s="129"/>
      <c r="K51" s="130">
        <f t="shared" si="21"/>
        <v>5</v>
      </c>
      <c r="L51" s="131"/>
      <c r="M51" s="132">
        <f t="shared" si="22"/>
        <v>849.4598092781885</v>
      </c>
      <c r="N51" s="132"/>
      <c r="O51" s="126">
        <f t="shared" si="23"/>
        <v>65.15362319319792</v>
      </c>
      <c r="P51" s="127"/>
      <c r="Q51" s="126">
        <f t="shared" si="24"/>
        <v>929.6134324713863</v>
      </c>
      <c r="R51" s="127"/>
      <c r="S51" s="24"/>
      <c r="T51" s="14"/>
      <c r="AA51" s="54">
        <f t="shared" si="9"/>
        <v>43</v>
      </c>
      <c r="AB51" s="55">
        <f t="shared" si="10"/>
      </c>
      <c r="AC51" s="55">
        <f t="shared" si="11"/>
      </c>
      <c r="AD51" s="63">
        <f t="shared" si="12"/>
      </c>
      <c r="AE51" s="57">
        <f t="shared" si="13"/>
      </c>
      <c r="AF51" s="67">
        <f t="shared" si="2"/>
      </c>
      <c r="AG51" s="54">
        <f t="shared" si="3"/>
      </c>
      <c r="AH51" s="54"/>
      <c r="AI51" s="57">
        <f t="shared" si="4"/>
      </c>
      <c r="AJ51" s="57">
        <f t="shared" si="5"/>
      </c>
      <c r="AK51" s="57">
        <f t="shared" si="6"/>
      </c>
      <c r="AM51" s="54">
        <f t="shared" si="14"/>
      </c>
      <c r="AN51" s="61">
        <f t="shared" si="7"/>
      </c>
      <c r="AQ51" s="57">
        <f t="shared" si="1"/>
      </c>
      <c r="AR51" s="69">
        <f t="shared" si="8"/>
      </c>
      <c r="AS51">
        <f>IF(AA51&lt;=$G$30,_XLL.TIR.NO.PER($AQ$8:AQ51,$AR$8:AR51),"")</f>
      </c>
    </row>
    <row r="52" spans="1:45" ht="13.5">
      <c r="A52" s="14"/>
      <c r="B52" s="22"/>
      <c r="C52" s="41">
        <v>8</v>
      </c>
      <c r="D52" s="128">
        <f t="shared" si="19"/>
        <v>43835</v>
      </c>
      <c r="E52" s="128"/>
      <c r="F52" s="42">
        <f t="shared" si="17"/>
        <v>31</v>
      </c>
      <c r="G52" s="129">
        <f t="shared" si="18"/>
        <v>4404.86464178702</v>
      </c>
      <c r="H52" s="129"/>
      <c r="I52" s="129">
        <f t="shared" si="20"/>
        <v>10</v>
      </c>
      <c r="J52" s="129"/>
      <c r="K52" s="130">
        <f t="shared" si="21"/>
        <v>5</v>
      </c>
      <c r="L52" s="131"/>
      <c r="M52" s="132">
        <f t="shared" si="22"/>
        <v>858.1608153788299</v>
      </c>
      <c r="N52" s="132"/>
      <c r="O52" s="126">
        <f t="shared" si="23"/>
        <v>56.452617092556444</v>
      </c>
      <c r="P52" s="127"/>
      <c r="Q52" s="126">
        <f t="shared" si="24"/>
        <v>929.6134324713863</v>
      </c>
      <c r="R52" s="127"/>
      <c r="S52" s="24"/>
      <c r="T52" s="14"/>
      <c r="AA52" s="54">
        <f t="shared" si="9"/>
        <v>44</v>
      </c>
      <c r="AB52" s="55">
        <f t="shared" si="10"/>
      </c>
      <c r="AC52" s="55">
        <f t="shared" si="11"/>
      </c>
      <c r="AD52" s="63">
        <f t="shared" si="12"/>
      </c>
      <c r="AE52" s="57">
        <f t="shared" si="13"/>
      </c>
      <c r="AF52" s="67">
        <f t="shared" si="2"/>
      </c>
      <c r="AG52" s="54">
        <f t="shared" si="3"/>
      </c>
      <c r="AH52" s="54"/>
      <c r="AI52" s="57">
        <f t="shared" si="4"/>
      </c>
      <c r="AJ52" s="57">
        <f t="shared" si="5"/>
      </c>
      <c r="AK52" s="57">
        <f t="shared" si="6"/>
      </c>
      <c r="AM52" s="54">
        <f t="shared" si="14"/>
      </c>
      <c r="AN52" s="61">
        <f t="shared" si="7"/>
      </c>
      <c r="AQ52" s="57">
        <f t="shared" si="1"/>
      </c>
      <c r="AR52" s="69">
        <f t="shared" si="8"/>
      </c>
      <c r="AS52">
        <f>IF(AA52&lt;=$G$30,_XLL.TIR.NO.PER($AQ$8:AQ52,$AR$8:AR52),"")</f>
      </c>
    </row>
    <row r="53" spans="1:45" ht="13.5">
      <c r="A53" s="14"/>
      <c r="B53" s="22"/>
      <c r="C53" s="41">
        <v>9</v>
      </c>
      <c r="D53" s="128">
        <f t="shared" si="19"/>
        <v>43866</v>
      </c>
      <c r="E53" s="128"/>
      <c r="F53" s="42">
        <f t="shared" si="17"/>
        <v>31</v>
      </c>
      <c r="G53" s="129">
        <f t="shared" si="18"/>
        <v>3546.7038264081907</v>
      </c>
      <c r="H53" s="129"/>
      <c r="I53" s="129">
        <f t="shared" si="20"/>
        <v>10</v>
      </c>
      <c r="J53" s="129"/>
      <c r="K53" s="130">
        <f t="shared" si="21"/>
        <v>5</v>
      </c>
      <c r="L53" s="131"/>
      <c r="M53" s="132">
        <f t="shared" si="22"/>
        <v>869.1589794211109</v>
      </c>
      <c r="N53" s="132"/>
      <c r="O53" s="126">
        <f t="shared" si="23"/>
        <v>45.45445305027542</v>
      </c>
      <c r="P53" s="127"/>
      <c r="Q53" s="126">
        <f t="shared" si="24"/>
        <v>929.6134324713863</v>
      </c>
      <c r="R53" s="127"/>
      <c r="S53" s="24"/>
      <c r="T53" s="14"/>
      <c r="AA53" s="54">
        <f t="shared" si="9"/>
        <v>45</v>
      </c>
      <c r="AB53" s="55">
        <f t="shared" si="10"/>
      </c>
      <c r="AC53" s="55">
        <f t="shared" si="11"/>
      </c>
      <c r="AD53" s="63">
        <f t="shared" si="12"/>
      </c>
      <c r="AE53" s="57">
        <f t="shared" si="13"/>
      </c>
      <c r="AF53" s="67">
        <f t="shared" si="2"/>
      </c>
      <c r="AG53" s="54">
        <f t="shared" si="3"/>
      </c>
      <c r="AH53" s="54"/>
      <c r="AI53" s="57">
        <f t="shared" si="4"/>
      </c>
      <c r="AJ53" s="57">
        <f t="shared" si="5"/>
      </c>
      <c r="AK53" s="57">
        <f t="shared" si="6"/>
      </c>
      <c r="AM53" s="54">
        <f t="shared" si="14"/>
      </c>
      <c r="AN53" s="61">
        <f t="shared" si="7"/>
      </c>
      <c r="AQ53" s="57">
        <f t="shared" si="1"/>
      </c>
      <c r="AR53" s="69">
        <f t="shared" si="8"/>
      </c>
      <c r="AS53">
        <f>IF(AA53&lt;=$G$30,_XLL.TIR.NO.PER($AQ$8:AQ53,$AR$8:AR53),"")</f>
      </c>
    </row>
    <row r="54" spans="1:45" ht="13.5">
      <c r="A54" s="14"/>
      <c r="B54" s="22"/>
      <c r="C54" s="41">
        <v>10</v>
      </c>
      <c r="D54" s="128">
        <f t="shared" si="19"/>
        <v>43895</v>
      </c>
      <c r="E54" s="128"/>
      <c r="F54" s="42">
        <f t="shared" si="17"/>
        <v>29</v>
      </c>
      <c r="G54" s="129">
        <f t="shared" si="18"/>
        <v>2677.54484698708</v>
      </c>
      <c r="H54" s="129"/>
      <c r="I54" s="129">
        <f t="shared" si="20"/>
        <v>10</v>
      </c>
      <c r="J54" s="129"/>
      <c r="K54" s="130">
        <f t="shared" si="21"/>
        <v>5</v>
      </c>
      <c r="L54" s="131"/>
      <c r="M54" s="132">
        <f t="shared" si="22"/>
        <v>882.52519968585</v>
      </c>
      <c r="N54" s="132"/>
      <c r="O54" s="126">
        <f t="shared" si="23"/>
        <v>32.08823278553637</v>
      </c>
      <c r="P54" s="127"/>
      <c r="Q54" s="126">
        <f t="shared" si="24"/>
        <v>929.6134324713863</v>
      </c>
      <c r="R54" s="127"/>
      <c r="S54" s="24"/>
      <c r="T54" s="14"/>
      <c r="AA54" s="54">
        <f t="shared" si="9"/>
        <v>46</v>
      </c>
      <c r="AB54" s="55">
        <f t="shared" si="10"/>
      </c>
      <c r="AC54" s="55">
        <f t="shared" si="11"/>
      </c>
      <c r="AD54" s="63">
        <f t="shared" si="12"/>
      </c>
      <c r="AE54" s="57">
        <f t="shared" si="13"/>
      </c>
      <c r="AF54" s="67">
        <f t="shared" si="2"/>
      </c>
      <c r="AG54" s="54">
        <f t="shared" si="3"/>
      </c>
      <c r="AH54" s="54"/>
      <c r="AI54" s="57">
        <f t="shared" si="4"/>
      </c>
      <c r="AJ54" s="57">
        <f t="shared" si="5"/>
      </c>
      <c r="AK54" s="57">
        <f t="shared" si="6"/>
      </c>
      <c r="AM54" s="54">
        <f t="shared" si="14"/>
      </c>
      <c r="AN54" s="61">
        <f t="shared" si="7"/>
      </c>
      <c r="AQ54" s="57">
        <f t="shared" si="1"/>
      </c>
      <c r="AR54" s="69">
        <f t="shared" si="8"/>
      </c>
      <c r="AS54">
        <f>IF(AA54&lt;=$G$30,_XLL.TIR.NO.PER($AQ$8:AQ54,$AR$8:AR54),"")</f>
      </c>
    </row>
    <row r="55" spans="1:45" ht="13.5">
      <c r="A55" s="14"/>
      <c r="B55" s="22"/>
      <c r="C55" s="41">
        <v>11</v>
      </c>
      <c r="D55" s="128">
        <f t="shared" si="19"/>
        <v>43926</v>
      </c>
      <c r="E55" s="128"/>
      <c r="F55" s="42">
        <f t="shared" si="17"/>
        <v>31</v>
      </c>
      <c r="G55" s="129">
        <f t="shared" si="18"/>
        <v>1795.0196473012297</v>
      </c>
      <c r="H55" s="129"/>
      <c r="I55" s="129">
        <f t="shared" si="20"/>
        <v>10</v>
      </c>
      <c r="J55" s="129"/>
      <c r="K55" s="130">
        <f t="shared" si="21"/>
        <v>5</v>
      </c>
      <c r="L55" s="131"/>
      <c r="M55" s="132">
        <f t="shared" si="22"/>
        <v>891.6085128964679</v>
      </c>
      <c r="N55" s="132"/>
      <c r="O55" s="126">
        <f t="shared" si="23"/>
        <v>23.004919574918375</v>
      </c>
      <c r="P55" s="127"/>
      <c r="Q55" s="126">
        <f t="shared" si="24"/>
        <v>929.6134324713863</v>
      </c>
      <c r="R55" s="127"/>
      <c r="S55" s="24"/>
      <c r="T55" s="14"/>
      <c r="AA55" s="54">
        <f t="shared" si="9"/>
        <v>47</v>
      </c>
      <c r="AB55" s="55">
        <f t="shared" si="10"/>
      </c>
      <c r="AC55" s="55">
        <f t="shared" si="11"/>
      </c>
      <c r="AD55" s="63">
        <f t="shared" si="12"/>
      </c>
      <c r="AE55" s="57">
        <f t="shared" si="13"/>
      </c>
      <c r="AF55" s="67">
        <f t="shared" si="2"/>
      </c>
      <c r="AG55" s="54">
        <f t="shared" si="3"/>
      </c>
      <c r="AH55" s="54"/>
      <c r="AI55" s="57">
        <f t="shared" si="4"/>
      </c>
      <c r="AJ55" s="57">
        <f t="shared" si="5"/>
      </c>
      <c r="AK55" s="57">
        <f t="shared" si="6"/>
      </c>
      <c r="AM55" s="54">
        <f t="shared" si="14"/>
      </c>
      <c r="AN55" s="61">
        <f t="shared" si="7"/>
      </c>
      <c r="AQ55" s="57">
        <f t="shared" si="1"/>
      </c>
      <c r="AR55" s="69">
        <f t="shared" si="8"/>
      </c>
      <c r="AS55">
        <f>IF(AA55&lt;=$G$30,_XLL.TIR.NO.PER($AQ$8:AQ55,$AR$8:AR55),"")</f>
      </c>
    </row>
    <row r="56" spans="1:45" ht="13.5">
      <c r="A56" s="14"/>
      <c r="B56" s="22"/>
      <c r="C56" s="41">
        <v>12</v>
      </c>
      <c r="D56" s="128">
        <f t="shared" si="19"/>
        <v>43956</v>
      </c>
      <c r="E56" s="128"/>
      <c r="F56" s="42">
        <f t="shared" si="17"/>
        <v>30</v>
      </c>
      <c r="G56" s="129">
        <f t="shared" si="18"/>
        <v>903.4111344047618</v>
      </c>
      <c r="H56" s="129"/>
      <c r="I56" s="129">
        <f t="shared" si="20"/>
        <v>10</v>
      </c>
      <c r="J56" s="129"/>
      <c r="K56" s="130">
        <f t="shared" si="21"/>
        <v>5</v>
      </c>
      <c r="L56" s="131"/>
      <c r="M56" s="132">
        <f t="shared" si="22"/>
        <v>903.4111344047691</v>
      </c>
      <c r="N56" s="132"/>
      <c r="O56" s="126">
        <f t="shared" si="23"/>
        <v>11.20229806661721</v>
      </c>
      <c r="P56" s="127"/>
      <c r="Q56" s="126">
        <f t="shared" si="24"/>
        <v>929.6134324713863</v>
      </c>
      <c r="R56" s="127"/>
      <c r="S56" s="24"/>
      <c r="T56" s="14"/>
      <c r="AA56" s="54">
        <f t="shared" si="9"/>
        <v>48</v>
      </c>
      <c r="AB56" s="55">
        <f t="shared" si="10"/>
      </c>
      <c r="AC56" s="55">
        <f t="shared" si="11"/>
      </c>
      <c r="AD56" s="63">
        <f t="shared" si="12"/>
      </c>
      <c r="AE56" s="57">
        <f t="shared" si="13"/>
      </c>
      <c r="AF56" s="67">
        <f t="shared" si="2"/>
      </c>
      <c r="AG56" s="54">
        <f t="shared" si="3"/>
      </c>
      <c r="AH56" s="54"/>
      <c r="AI56" s="57">
        <f t="shared" si="4"/>
      </c>
      <c r="AJ56" s="57">
        <f t="shared" si="5"/>
      </c>
      <c r="AK56" s="57">
        <f t="shared" si="6"/>
      </c>
      <c r="AM56" s="54">
        <f t="shared" si="14"/>
      </c>
      <c r="AN56" s="61">
        <f t="shared" si="7"/>
      </c>
      <c r="AQ56" s="57">
        <f t="shared" si="1"/>
      </c>
      <c r="AR56" s="69">
        <f t="shared" si="8"/>
      </c>
      <c r="AS56">
        <f>IF(AA56&lt;=$G$30,_XLL.TIR.NO.PER($AQ$8:AQ56,$AR$8:AR56),"")</f>
      </c>
    </row>
    <row r="57" spans="1:44" ht="13.5">
      <c r="A57" s="14"/>
      <c r="B57" s="22"/>
      <c r="C57" s="41">
        <v>13</v>
      </c>
      <c r="D57" s="128">
        <f t="shared" si="19"/>
      </c>
      <c r="E57" s="128"/>
      <c r="F57" s="42">
        <f t="shared" si="17"/>
      </c>
      <c r="G57" s="129">
        <f t="shared" si="18"/>
      </c>
      <c r="H57" s="129"/>
      <c r="I57" s="129">
        <f t="shared" si="20"/>
      </c>
      <c r="J57" s="129"/>
      <c r="K57" s="130">
        <f t="shared" si="21"/>
      </c>
      <c r="L57" s="131"/>
      <c r="M57" s="132">
        <f t="shared" si="22"/>
      </c>
      <c r="N57" s="132"/>
      <c r="O57" s="126">
        <f t="shared" si="23"/>
      </c>
      <c r="P57" s="127"/>
      <c r="Q57" s="126">
        <f t="shared" si="24"/>
      </c>
      <c r="R57" s="127"/>
      <c r="S57" s="24"/>
      <c r="T57" s="14"/>
      <c r="AA57" s="54"/>
      <c r="AB57" s="58"/>
      <c r="AC57" s="58"/>
      <c r="AD57" s="64">
        <f>SUM(AD9:AD56)</f>
        <v>396</v>
      </c>
      <c r="AE57" s="57"/>
      <c r="AF57" s="54"/>
      <c r="AG57" s="54"/>
      <c r="AH57" s="54"/>
      <c r="AI57" s="59">
        <f>SUM(AI9:AI56)</f>
        <v>10000.00000000001</v>
      </c>
      <c r="AJ57" s="59">
        <f>SUM(AJ9:AJ56)</f>
        <v>975.3611896566275</v>
      </c>
      <c r="AK57" s="59">
        <f>SUM(AK9:AK56)</f>
        <v>11155.361189656634</v>
      </c>
      <c r="AQ57" s="62"/>
      <c r="AR57" s="62"/>
    </row>
    <row r="58" spans="1:20" ht="12.75">
      <c r="A58" s="14"/>
      <c r="B58" s="22"/>
      <c r="C58" s="41">
        <v>14</v>
      </c>
      <c r="D58" s="128">
        <f t="shared" si="19"/>
      </c>
      <c r="E58" s="128"/>
      <c r="F58" s="42">
        <f t="shared" si="17"/>
      </c>
      <c r="G58" s="129">
        <f t="shared" si="18"/>
      </c>
      <c r="H58" s="129"/>
      <c r="I58" s="129">
        <f t="shared" si="20"/>
      </c>
      <c r="J58" s="129"/>
      <c r="K58" s="130">
        <f t="shared" si="21"/>
      </c>
      <c r="L58" s="131"/>
      <c r="M58" s="132">
        <f t="shared" si="22"/>
      </c>
      <c r="N58" s="132"/>
      <c r="O58" s="126">
        <f t="shared" si="23"/>
      </c>
      <c r="P58" s="127"/>
      <c r="Q58" s="126">
        <f t="shared" si="24"/>
      </c>
      <c r="R58" s="127"/>
      <c r="S58" s="24"/>
      <c r="T58" s="14"/>
    </row>
    <row r="59" spans="1:20" ht="12.75">
      <c r="A59" s="14"/>
      <c r="B59" s="22"/>
      <c r="C59" s="41">
        <v>15</v>
      </c>
      <c r="D59" s="128">
        <f t="shared" si="19"/>
      </c>
      <c r="E59" s="128"/>
      <c r="F59" s="42">
        <f t="shared" si="17"/>
      </c>
      <c r="G59" s="129">
        <f t="shared" si="18"/>
      </c>
      <c r="H59" s="129"/>
      <c r="I59" s="129">
        <f t="shared" si="20"/>
      </c>
      <c r="J59" s="129"/>
      <c r="K59" s="130">
        <f t="shared" si="21"/>
      </c>
      <c r="L59" s="131"/>
      <c r="M59" s="132">
        <f t="shared" si="22"/>
      </c>
      <c r="N59" s="132"/>
      <c r="O59" s="126">
        <f t="shared" si="23"/>
      </c>
      <c r="P59" s="127"/>
      <c r="Q59" s="126">
        <f t="shared" si="24"/>
      </c>
      <c r="R59" s="127"/>
      <c r="S59" s="24"/>
      <c r="T59" s="14"/>
    </row>
    <row r="60" spans="1:20" ht="12.75">
      <c r="A60" s="14"/>
      <c r="B60" s="22"/>
      <c r="C60" s="41">
        <v>16</v>
      </c>
      <c r="D60" s="128">
        <f t="shared" si="19"/>
      </c>
      <c r="E60" s="128"/>
      <c r="F60" s="42">
        <f t="shared" si="17"/>
      </c>
      <c r="G60" s="129">
        <f t="shared" si="18"/>
      </c>
      <c r="H60" s="129"/>
      <c r="I60" s="129">
        <f t="shared" si="20"/>
      </c>
      <c r="J60" s="129"/>
      <c r="K60" s="130">
        <f t="shared" si="21"/>
      </c>
      <c r="L60" s="131"/>
      <c r="M60" s="132">
        <f t="shared" si="22"/>
      </c>
      <c r="N60" s="132"/>
      <c r="O60" s="126">
        <f t="shared" si="23"/>
      </c>
      <c r="P60" s="127"/>
      <c r="Q60" s="126">
        <f t="shared" si="24"/>
      </c>
      <c r="R60" s="127"/>
      <c r="S60" s="24"/>
      <c r="T60" s="14"/>
    </row>
    <row r="61" spans="1:20" ht="12.75">
      <c r="A61" s="14"/>
      <c r="B61" s="22"/>
      <c r="C61" s="41">
        <v>17</v>
      </c>
      <c r="D61" s="128">
        <f t="shared" si="19"/>
      </c>
      <c r="E61" s="128"/>
      <c r="F61" s="42">
        <f t="shared" si="17"/>
      </c>
      <c r="G61" s="129">
        <f t="shared" si="18"/>
      </c>
      <c r="H61" s="129"/>
      <c r="I61" s="129">
        <f t="shared" si="20"/>
      </c>
      <c r="J61" s="129"/>
      <c r="K61" s="130">
        <f t="shared" si="21"/>
      </c>
      <c r="L61" s="131"/>
      <c r="M61" s="132">
        <f t="shared" si="22"/>
      </c>
      <c r="N61" s="132"/>
      <c r="O61" s="126">
        <f t="shared" si="23"/>
      </c>
      <c r="P61" s="127"/>
      <c r="Q61" s="126">
        <f t="shared" si="24"/>
      </c>
      <c r="R61" s="127"/>
      <c r="S61" s="24"/>
      <c r="T61" s="14"/>
    </row>
    <row r="62" spans="1:20" ht="12.75">
      <c r="A62" s="14"/>
      <c r="B62" s="22"/>
      <c r="C62" s="41">
        <v>18</v>
      </c>
      <c r="D62" s="128">
        <f t="shared" si="19"/>
      </c>
      <c r="E62" s="128"/>
      <c r="F62" s="42">
        <f t="shared" si="17"/>
      </c>
      <c r="G62" s="129">
        <f t="shared" si="18"/>
      </c>
      <c r="H62" s="129"/>
      <c r="I62" s="129">
        <f t="shared" si="20"/>
      </c>
      <c r="J62" s="129"/>
      <c r="K62" s="130">
        <f t="shared" si="21"/>
      </c>
      <c r="L62" s="131"/>
      <c r="M62" s="132">
        <f t="shared" si="22"/>
      </c>
      <c r="N62" s="132"/>
      <c r="O62" s="126">
        <f t="shared" si="23"/>
      </c>
      <c r="P62" s="127"/>
      <c r="Q62" s="126">
        <f t="shared" si="24"/>
      </c>
      <c r="R62" s="127"/>
      <c r="S62" s="24"/>
      <c r="T62" s="14"/>
    </row>
    <row r="63" spans="1:20" ht="12.75">
      <c r="A63" s="14"/>
      <c r="B63" s="22"/>
      <c r="C63" s="41">
        <v>19</v>
      </c>
      <c r="D63" s="128">
        <f t="shared" si="19"/>
      </c>
      <c r="E63" s="128"/>
      <c r="F63" s="42">
        <f t="shared" si="17"/>
      </c>
      <c r="G63" s="129">
        <f t="shared" si="18"/>
      </c>
      <c r="H63" s="129"/>
      <c r="I63" s="129">
        <f t="shared" si="20"/>
      </c>
      <c r="J63" s="129"/>
      <c r="K63" s="130">
        <f t="shared" si="21"/>
      </c>
      <c r="L63" s="131"/>
      <c r="M63" s="132">
        <f t="shared" si="22"/>
      </c>
      <c r="N63" s="132"/>
      <c r="O63" s="126">
        <f t="shared" si="23"/>
      </c>
      <c r="P63" s="127"/>
      <c r="Q63" s="126">
        <f t="shared" si="24"/>
      </c>
      <c r="R63" s="127"/>
      <c r="S63" s="24"/>
      <c r="T63" s="14"/>
    </row>
    <row r="64" spans="1:20" ht="12.75">
      <c r="A64" s="14"/>
      <c r="B64" s="22"/>
      <c r="C64" s="41">
        <v>20</v>
      </c>
      <c r="D64" s="128">
        <f t="shared" si="19"/>
      </c>
      <c r="E64" s="128"/>
      <c r="F64" s="42">
        <f t="shared" si="17"/>
      </c>
      <c r="G64" s="129">
        <f t="shared" si="18"/>
      </c>
      <c r="H64" s="129"/>
      <c r="I64" s="129">
        <f t="shared" si="20"/>
      </c>
      <c r="J64" s="129"/>
      <c r="K64" s="130">
        <f t="shared" si="21"/>
      </c>
      <c r="L64" s="131"/>
      <c r="M64" s="132">
        <f t="shared" si="22"/>
      </c>
      <c r="N64" s="132"/>
      <c r="O64" s="126">
        <f t="shared" si="23"/>
      </c>
      <c r="P64" s="127"/>
      <c r="Q64" s="126">
        <f t="shared" si="24"/>
      </c>
      <c r="R64" s="127"/>
      <c r="S64" s="24"/>
      <c r="T64" s="14"/>
    </row>
    <row r="65" spans="1:20" ht="12.75">
      <c r="A65" s="14"/>
      <c r="B65" s="22"/>
      <c r="C65" s="41">
        <v>21</v>
      </c>
      <c r="D65" s="128">
        <f t="shared" si="19"/>
      </c>
      <c r="E65" s="128"/>
      <c r="F65" s="42">
        <f t="shared" si="17"/>
      </c>
      <c r="G65" s="129">
        <f t="shared" si="18"/>
      </c>
      <c r="H65" s="129"/>
      <c r="I65" s="129">
        <f t="shared" si="20"/>
      </c>
      <c r="J65" s="129"/>
      <c r="K65" s="130">
        <f t="shared" si="21"/>
      </c>
      <c r="L65" s="131"/>
      <c r="M65" s="132">
        <f t="shared" si="22"/>
      </c>
      <c r="N65" s="132"/>
      <c r="O65" s="126">
        <f t="shared" si="23"/>
      </c>
      <c r="P65" s="127"/>
      <c r="Q65" s="126">
        <f t="shared" si="24"/>
      </c>
      <c r="R65" s="127"/>
      <c r="S65" s="24"/>
      <c r="T65" s="14"/>
    </row>
    <row r="66" spans="1:20" ht="12.75">
      <c r="A66" s="14"/>
      <c r="B66" s="22"/>
      <c r="C66" s="41">
        <v>22</v>
      </c>
      <c r="D66" s="128">
        <f t="shared" si="19"/>
      </c>
      <c r="E66" s="128"/>
      <c r="F66" s="42">
        <f t="shared" si="17"/>
      </c>
      <c r="G66" s="129">
        <f t="shared" si="18"/>
      </c>
      <c r="H66" s="129"/>
      <c r="I66" s="129">
        <f t="shared" si="20"/>
      </c>
      <c r="J66" s="129"/>
      <c r="K66" s="130">
        <f t="shared" si="21"/>
      </c>
      <c r="L66" s="131"/>
      <c r="M66" s="132">
        <f t="shared" si="22"/>
      </c>
      <c r="N66" s="132"/>
      <c r="O66" s="126">
        <f t="shared" si="23"/>
      </c>
      <c r="P66" s="127"/>
      <c r="Q66" s="126">
        <f t="shared" si="24"/>
      </c>
      <c r="R66" s="127"/>
      <c r="S66" s="24"/>
      <c r="T66" s="14"/>
    </row>
    <row r="67" spans="1:20" ht="12.75">
      <c r="A67" s="14"/>
      <c r="B67" s="22"/>
      <c r="C67" s="41">
        <v>23</v>
      </c>
      <c r="D67" s="128">
        <f t="shared" si="19"/>
      </c>
      <c r="E67" s="128"/>
      <c r="F67" s="42">
        <f t="shared" si="17"/>
      </c>
      <c r="G67" s="129">
        <f t="shared" si="18"/>
      </c>
      <c r="H67" s="129"/>
      <c r="I67" s="129">
        <f t="shared" si="20"/>
      </c>
      <c r="J67" s="129"/>
      <c r="K67" s="130">
        <f t="shared" si="21"/>
      </c>
      <c r="L67" s="131"/>
      <c r="M67" s="132">
        <f t="shared" si="22"/>
      </c>
      <c r="N67" s="132"/>
      <c r="O67" s="126">
        <f t="shared" si="23"/>
      </c>
      <c r="P67" s="127"/>
      <c r="Q67" s="126">
        <f t="shared" si="24"/>
      </c>
      <c r="R67" s="127"/>
      <c r="S67" s="24"/>
      <c r="T67" s="14"/>
    </row>
    <row r="68" spans="1:20" ht="12.75">
      <c r="A68" s="14"/>
      <c r="B68" s="22"/>
      <c r="C68" s="41">
        <v>24</v>
      </c>
      <c r="D68" s="128">
        <f t="shared" si="19"/>
      </c>
      <c r="E68" s="128"/>
      <c r="F68" s="42">
        <f t="shared" si="17"/>
      </c>
      <c r="G68" s="129">
        <f t="shared" si="18"/>
      </c>
      <c r="H68" s="129"/>
      <c r="I68" s="129">
        <f t="shared" si="20"/>
      </c>
      <c r="J68" s="129"/>
      <c r="K68" s="130">
        <f t="shared" si="21"/>
      </c>
      <c r="L68" s="131"/>
      <c r="M68" s="132">
        <f t="shared" si="22"/>
      </c>
      <c r="N68" s="132"/>
      <c r="O68" s="126">
        <f t="shared" si="23"/>
      </c>
      <c r="P68" s="127"/>
      <c r="Q68" s="126">
        <f t="shared" si="24"/>
      </c>
      <c r="R68" s="127"/>
      <c r="S68" s="24"/>
      <c r="T68" s="14"/>
    </row>
    <row r="69" spans="1:20" ht="12.75">
      <c r="A69" s="14"/>
      <c r="B69" s="22"/>
      <c r="C69" s="41">
        <v>25</v>
      </c>
      <c r="D69" s="128">
        <f t="shared" si="19"/>
      </c>
      <c r="E69" s="128"/>
      <c r="F69" s="42">
        <f t="shared" si="17"/>
      </c>
      <c r="G69" s="129">
        <f t="shared" si="18"/>
      </c>
      <c r="H69" s="129"/>
      <c r="I69" s="129">
        <f t="shared" si="20"/>
      </c>
      <c r="J69" s="129"/>
      <c r="K69" s="130">
        <f t="shared" si="21"/>
      </c>
      <c r="L69" s="131"/>
      <c r="M69" s="132">
        <f t="shared" si="22"/>
      </c>
      <c r="N69" s="132"/>
      <c r="O69" s="126">
        <f t="shared" si="23"/>
      </c>
      <c r="P69" s="127"/>
      <c r="Q69" s="126">
        <f t="shared" si="24"/>
      </c>
      <c r="R69" s="127"/>
      <c r="S69" s="24"/>
      <c r="T69" s="14"/>
    </row>
    <row r="70" spans="1:20" ht="12.75">
      <c r="A70" s="14"/>
      <c r="B70" s="22"/>
      <c r="C70" s="41">
        <v>26</v>
      </c>
      <c r="D70" s="128">
        <f t="shared" si="19"/>
      </c>
      <c r="E70" s="128"/>
      <c r="F70" s="42">
        <f t="shared" si="17"/>
      </c>
      <c r="G70" s="129">
        <f t="shared" si="18"/>
      </c>
      <c r="H70" s="129"/>
      <c r="I70" s="129">
        <f t="shared" si="20"/>
      </c>
      <c r="J70" s="129"/>
      <c r="K70" s="130">
        <f t="shared" si="21"/>
      </c>
      <c r="L70" s="131"/>
      <c r="M70" s="132">
        <f t="shared" si="22"/>
      </c>
      <c r="N70" s="132"/>
      <c r="O70" s="126">
        <f t="shared" si="23"/>
      </c>
      <c r="P70" s="127"/>
      <c r="Q70" s="126">
        <f t="shared" si="24"/>
      </c>
      <c r="R70" s="127"/>
      <c r="S70" s="24"/>
      <c r="T70" s="14"/>
    </row>
    <row r="71" spans="1:20" ht="12.75">
      <c r="A71" s="14"/>
      <c r="B71" s="22"/>
      <c r="C71" s="41">
        <v>27</v>
      </c>
      <c r="D71" s="128">
        <f t="shared" si="19"/>
      </c>
      <c r="E71" s="128"/>
      <c r="F71" s="42">
        <f t="shared" si="17"/>
      </c>
      <c r="G71" s="129">
        <f t="shared" si="18"/>
      </c>
      <c r="H71" s="129"/>
      <c r="I71" s="129">
        <f t="shared" si="20"/>
      </c>
      <c r="J71" s="129"/>
      <c r="K71" s="130">
        <f t="shared" si="21"/>
      </c>
      <c r="L71" s="131"/>
      <c r="M71" s="132">
        <f t="shared" si="22"/>
      </c>
      <c r="N71" s="132"/>
      <c r="O71" s="126">
        <f t="shared" si="23"/>
      </c>
      <c r="P71" s="127"/>
      <c r="Q71" s="126">
        <f t="shared" si="24"/>
      </c>
      <c r="R71" s="127"/>
      <c r="S71" s="24"/>
      <c r="T71" s="14"/>
    </row>
    <row r="72" spans="1:20" ht="12.75">
      <c r="A72" s="14"/>
      <c r="B72" s="22"/>
      <c r="C72" s="41">
        <v>28</v>
      </c>
      <c r="D72" s="128">
        <f t="shared" si="19"/>
      </c>
      <c r="E72" s="128"/>
      <c r="F72" s="42">
        <f t="shared" si="17"/>
      </c>
      <c r="G72" s="129">
        <f t="shared" si="18"/>
      </c>
      <c r="H72" s="129"/>
      <c r="I72" s="129">
        <f t="shared" si="20"/>
      </c>
      <c r="J72" s="129"/>
      <c r="K72" s="130">
        <f t="shared" si="21"/>
      </c>
      <c r="L72" s="131"/>
      <c r="M72" s="132">
        <f t="shared" si="22"/>
      </c>
      <c r="N72" s="132"/>
      <c r="O72" s="126">
        <f t="shared" si="23"/>
      </c>
      <c r="P72" s="127"/>
      <c r="Q72" s="126">
        <f t="shared" si="24"/>
      </c>
      <c r="R72" s="127"/>
      <c r="S72" s="24"/>
      <c r="T72" s="14"/>
    </row>
    <row r="73" spans="1:20" ht="12.75">
      <c r="A73" s="14"/>
      <c r="B73" s="22"/>
      <c r="C73" s="41">
        <v>29</v>
      </c>
      <c r="D73" s="128">
        <f t="shared" si="19"/>
      </c>
      <c r="E73" s="128"/>
      <c r="F73" s="42">
        <f t="shared" si="17"/>
      </c>
      <c r="G73" s="129">
        <f t="shared" si="18"/>
      </c>
      <c r="H73" s="129"/>
      <c r="I73" s="129">
        <f t="shared" si="20"/>
      </c>
      <c r="J73" s="129"/>
      <c r="K73" s="130">
        <f t="shared" si="21"/>
      </c>
      <c r="L73" s="131"/>
      <c r="M73" s="132">
        <f t="shared" si="22"/>
      </c>
      <c r="N73" s="132"/>
      <c r="O73" s="126">
        <f t="shared" si="23"/>
      </c>
      <c r="P73" s="127"/>
      <c r="Q73" s="126">
        <f t="shared" si="24"/>
      </c>
      <c r="R73" s="127"/>
      <c r="S73" s="24"/>
      <c r="T73" s="14"/>
    </row>
    <row r="74" spans="1:20" ht="12.75">
      <c r="A74" s="14"/>
      <c r="B74" s="22"/>
      <c r="C74" s="41">
        <v>30</v>
      </c>
      <c r="D74" s="128">
        <f t="shared" si="19"/>
      </c>
      <c r="E74" s="128"/>
      <c r="F74" s="42">
        <f t="shared" si="17"/>
      </c>
      <c r="G74" s="129">
        <f t="shared" si="18"/>
      </c>
      <c r="H74" s="129"/>
      <c r="I74" s="129">
        <f t="shared" si="20"/>
      </c>
      <c r="J74" s="129"/>
      <c r="K74" s="130">
        <f t="shared" si="21"/>
      </c>
      <c r="L74" s="131"/>
      <c r="M74" s="132">
        <f t="shared" si="22"/>
      </c>
      <c r="N74" s="132"/>
      <c r="O74" s="126">
        <f t="shared" si="23"/>
      </c>
      <c r="P74" s="127"/>
      <c r="Q74" s="126">
        <f t="shared" si="24"/>
      </c>
      <c r="R74" s="127"/>
      <c r="S74" s="24"/>
      <c r="T74" s="14"/>
    </row>
    <row r="75" spans="1:20" ht="12.75">
      <c r="A75" s="14"/>
      <c r="B75" s="22"/>
      <c r="C75" s="41">
        <v>31</v>
      </c>
      <c r="D75" s="128">
        <f t="shared" si="19"/>
      </c>
      <c r="E75" s="128"/>
      <c r="F75" s="42">
        <f t="shared" si="17"/>
      </c>
      <c r="G75" s="129">
        <f t="shared" si="18"/>
      </c>
      <c r="H75" s="129"/>
      <c r="I75" s="129">
        <f t="shared" si="20"/>
      </c>
      <c r="J75" s="129"/>
      <c r="K75" s="130">
        <f t="shared" si="21"/>
      </c>
      <c r="L75" s="131"/>
      <c r="M75" s="132">
        <f t="shared" si="22"/>
      </c>
      <c r="N75" s="132"/>
      <c r="O75" s="126">
        <f t="shared" si="23"/>
      </c>
      <c r="P75" s="127"/>
      <c r="Q75" s="126">
        <f t="shared" si="24"/>
      </c>
      <c r="R75" s="127"/>
      <c r="S75" s="24"/>
      <c r="T75" s="14"/>
    </row>
    <row r="76" spans="1:20" ht="12.75">
      <c r="A76" s="14"/>
      <c r="B76" s="22"/>
      <c r="C76" s="41">
        <v>32</v>
      </c>
      <c r="D76" s="128">
        <f t="shared" si="19"/>
      </c>
      <c r="E76" s="128"/>
      <c r="F76" s="42">
        <f t="shared" si="17"/>
      </c>
      <c r="G76" s="129">
        <f t="shared" si="18"/>
      </c>
      <c r="H76" s="129"/>
      <c r="I76" s="129">
        <f t="shared" si="20"/>
      </c>
      <c r="J76" s="129"/>
      <c r="K76" s="130">
        <f t="shared" si="21"/>
      </c>
      <c r="L76" s="131"/>
      <c r="M76" s="132">
        <f t="shared" si="22"/>
      </c>
      <c r="N76" s="132"/>
      <c r="O76" s="126">
        <f t="shared" si="23"/>
      </c>
      <c r="P76" s="127"/>
      <c r="Q76" s="126">
        <f t="shared" si="24"/>
      </c>
      <c r="R76" s="127"/>
      <c r="S76" s="24"/>
      <c r="T76" s="14"/>
    </row>
    <row r="77" spans="1:20" ht="12.75">
      <c r="A77" s="14"/>
      <c r="B77" s="22"/>
      <c r="C77" s="41">
        <v>33</v>
      </c>
      <c r="D77" s="128">
        <f t="shared" si="19"/>
      </c>
      <c r="E77" s="128"/>
      <c r="F77" s="42">
        <f t="shared" si="17"/>
      </c>
      <c r="G77" s="129">
        <f t="shared" si="18"/>
      </c>
      <c r="H77" s="129"/>
      <c r="I77" s="129">
        <f t="shared" si="20"/>
      </c>
      <c r="J77" s="129"/>
      <c r="K77" s="130">
        <f t="shared" si="21"/>
      </c>
      <c r="L77" s="131"/>
      <c r="M77" s="132">
        <f t="shared" si="22"/>
      </c>
      <c r="N77" s="132"/>
      <c r="O77" s="126">
        <f t="shared" si="23"/>
      </c>
      <c r="P77" s="127"/>
      <c r="Q77" s="126">
        <f t="shared" si="24"/>
      </c>
      <c r="R77" s="127"/>
      <c r="S77" s="24"/>
      <c r="T77" s="14"/>
    </row>
    <row r="78" spans="1:20" ht="12.75">
      <c r="A78" s="14"/>
      <c r="B78" s="22"/>
      <c r="C78" s="41">
        <v>34</v>
      </c>
      <c r="D78" s="128">
        <f t="shared" si="19"/>
      </c>
      <c r="E78" s="128"/>
      <c r="F78" s="42">
        <f t="shared" si="17"/>
      </c>
      <c r="G78" s="129">
        <f t="shared" si="18"/>
      </c>
      <c r="H78" s="129"/>
      <c r="I78" s="129">
        <f t="shared" si="20"/>
      </c>
      <c r="J78" s="129"/>
      <c r="K78" s="130">
        <f t="shared" si="21"/>
      </c>
      <c r="L78" s="131"/>
      <c r="M78" s="132">
        <f t="shared" si="22"/>
      </c>
      <c r="N78" s="132"/>
      <c r="O78" s="126">
        <f t="shared" si="23"/>
      </c>
      <c r="P78" s="127"/>
      <c r="Q78" s="126">
        <f t="shared" si="24"/>
      </c>
      <c r="R78" s="127"/>
      <c r="S78" s="24"/>
      <c r="T78" s="14"/>
    </row>
    <row r="79" spans="1:20" ht="12.75">
      <c r="A79" s="14"/>
      <c r="B79" s="22"/>
      <c r="C79" s="41">
        <v>35</v>
      </c>
      <c r="D79" s="128">
        <f t="shared" si="19"/>
      </c>
      <c r="E79" s="128"/>
      <c r="F79" s="42">
        <f t="shared" si="17"/>
      </c>
      <c r="G79" s="129">
        <f t="shared" si="18"/>
      </c>
      <c r="H79" s="129"/>
      <c r="I79" s="129">
        <f t="shared" si="20"/>
      </c>
      <c r="J79" s="129"/>
      <c r="K79" s="130">
        <f t="shared" si="21"/>
      </c>
      <c r="L79" s="131"/>
      <c r="M79" s="132">
        <f t="shared" si="22"/>
      </c>
      <c r="N79" s="132"/>
      <c r="O79" s="126">
        <f t="shared" si="23"/>
      </c>
      <c r="P79" s="127"/>
      <c r="Q79" s="126">
        <f t="shared" si="24"/>
      </c>
      <c r="R79" s="127"/>
      <c r="S79" s="24"/>
      <c r="T79" s="14"/>
    </row>
    <row r="80" spans="1:20" ht="12.75">
      <c r="A80" s="14"/>
      <c r="B80" s="22"/>
      <c r="C80" s="41">
        <v>36</v>
      </c>
      <c r="D80" s="128">
        <f t="shared" si="19"/>
      </c>
      <c r="E80" s="128"/>
      <c r="F80" s="42">
        <f t="shared" si="17"/>
      </c>
      <c r="G80" s="129">
        <f t="shared" si="18"/>
      </c>
      <c r="H80" s="129"/>
      <c r="I80" s="129">
        <f t="shared" si="20"/>
      </c>
      <c r="J80" s="129"/>
      <c r="K80" s="130">
        <f t="shared" si="21"/>
      </c>
      <c r="L80" s="131"/>
      <c r="M80" s="132">
        <f t="shared" si="22"/>
      </c>
      <c r="N80" s="132"/>
      <c r="O80" s="126">
        <f t="shared" si="23"/>
      </c>
      <c r="P80" s="127"/>
      <c r="Q80" s="126">
        <f t="shared" si="24"/>
      </c>
      <c r="R80" s="127"/>
      <c r="S80" s="24"/>
      <c r="T80" s="14"/>
    </row>
    <row r="81" spans="1:20" ht="12.75">
      <c r="A81" s="14"/>
      <c r="B81" s="22"/>
      <c r="C81" s="41">
        <v>37</v>
      </c>
      <c r="D81" s="128">
        <f t="shared" si="19"/>
      </c>
      <c r="E81" s="128"/>
      <c r="F81" s="42">
        <f t="shared" si="17"/>
      </c>
      <c r="G81" s="129">
        <f t="shared" si="18"/>
      </c>
      <c r="H81" s="129"/>
      <c r="I81" s="133">
        <f t="shared" si="20"/>
      </c>
      <c r="J81" s="133"/>
      <c r="K81" s="134">
        <f t="shared" si="21"/>
      </c>
      <c r="L81" s="135"/>
      <c r="M81" s="132">
        <f t="shared" si="22"/>
      </c>
      <c r="N81" s="132"/>
      <c r="O81" s="126">
        <f t="shared" si="23"/>
      </c>
      <c r="P81" s="127"/>
      <c r="Q81" s="126">
        <f t="shared" si="24"/>
      </c>
      <c r="R81" s="127"/>
      <c r="S81" s="24"/>
      <c r="T81" s="14"/>
    </row>
    <row r="82" spans="1:20" ht="12.75">
      <c r="A82" s="14"/>
      <c r="B82" s="22"/>
      <c r="C82" s="41">
        <v>38</v>
      </c>
      <c r="D82" s="128">
        <f t="shared" si="19"/>
      </c>
      <c r="E82" s="128"/>
      <c r="F82" s="42">
        <f t="shared" si="17"/>
      </c>
      <c r="G82" s="129">
        <f t="shared" si="18"/>
      </c>
      <c r="H82" s="129"/>
      <c r="I82" s="133">
        <f t="shared" si="20"/>
      </c>
      <c r="J82" s="133"/>
      <c r="K82" s="134">
        <f t="shared" si="21"/>
      </c>
      <c r="L82" s="135"/>
      <c r="M82" s="132">
        <f t="shared" si="22"/>
      </c>
      <c r="N82" s="132"/>
      <c r="O82" s="126">
        <f t="shared" si="23"/>
      </c>
      <c r="P82" s="127"/>
      <c r="Q82" s="126">
        <f t="shared" si="24"/>
      </c>
      <c r="R82" s="127"/>
      <c r="S82" s="24"/>
      <c r="T82" s="14"/>
    </row>
    <row r="83" spans="1:20" ht="12.75">
      <c r="A83" s="14"/>
      <c r="B83" s="22"/>
      <c r="C83" s="41">
        <v>39</v>
      </c>
      <c r="D83" s="128">
        <f t="shared" si="19"/>
      </c>
      <c r="E83" s="128"/>
      <c r="F83" s="42">
        <f t="shared" si="17"/>
      </c>
      <c r="G83" s="129">
        <f t="shared" si="18"/>
      </c>
      <c r="H83" s="129"/>
      <c r="I83" s="133">
        <f t="shared" si="20"/>
      </c>
      <c r="J83" s="133"/>
      <c r="K83" s="134">
        <f t="shared" si="21"/>
      </c>
      <c r="L83" s="135"/>
      <c r="M83" s="132">
        <f t="shared" si="22"/>
      </c>
      <c r="N83" s="132"/>
      <c r="O83" s="126">
        <f t="shared" si="23"/>
      </c>
      <c r="P83" s="127"/>
      <c r="Q83" s="126">
        <f t="shared" si="24"/>
      </c>
      <c r="R83" s="127"/>
      <c r="S83" s="24"/>
      <c r="T83" s="14"/>
    </row>
    <row r="84" spans="1:20" ht="12.75">
      <c r="A84" s="14"/>
      <c r="B84" s="22"/>
      <c r="C84" s="41">
        <v>40</v>
      </c>
      <c r="D84" s="128">
        <f t="shared" si="19"/>
      </c>
      <c r="E84" s="128"/>
      <c r="F84" s="42">
        <f t="shared" si="17"/>
      </c>
      <c r="G84" s="129">
        <f t="shared" si="18"/>
      </c>
      <c r="H84" s="129"/>
      <c r="I84" s="133">
        <f t="shared" si="20"/>
      </c>
      <c r="J84" s="133"/>
      <c r="K84" s="134">
        <f t="shared" si="21"/>
      </c>
      <c r="L84" s="135"/>
      <c r="M84" s="132">
        <f t="shared" si="22"/>
      </c>
      <c r="N84" s="132"/>
      <c r="O84" s="126">
        <f t="shared" si="23"/>
      </c>
      <c r="P84" s="127"/>
      <c r="Q84" s="126">
        <f t="shared" si="24"/>
      </c>
      <c r="R84" s="127"/>
      <c r="S84" s="24"/>
      <c r="T84" s="14"/>
    </row>
    <row r="85" spans="1:20" ht="12.75">
      <c r="A85" s="14"/>
      <c r="B85" s="22"/>
      <c r="C85" s="41">
        <v>41</v>
      </c>
      <c r="D85" s="128">
        <f t="shared" si="19"/>
      </c>
      <c r="E85" s="128"/>
      <c r="F85" s="42">
        <f t="shared" si="17"/>
      </c>
      <c r="G85" s="129">
        <f t="shared" si="18"/>
      </c>
      <c r="H85" s="129"/>
      <c r="I85" s="133">
        <f t="shared" si="20"/>
      </c>
      <c r="J85" s="133"/>
      <c r="K85" s="134">
        <f t="shared" si="21"/>
      </c>
      <c r="L85" s="135"/>
      <c r="M85" s="132">
        <f t="shared" si="22"/>
      </c>
      <c r="N85" s="132"/>
      <c r="O85" s="126">
        <f t="shared" si="23"/>
      </c>
      <c r="P85" s="127"/>
      <c r="Q85" s="126">
        <f t="shared" si="24"/>
      </c>
      <c r="R85" s="127"/>
      <c r="S85" s="24"/>
      <c r="T85" s="14"/>
    </row>
    <row r="86" spans="1:20" ht="12.75">
      <c r="A86" s="14"/>
      <c r="B86" s="22"/>
      <c r="C86" s="41">
        <v>42</v>
      </c>
      <c r="D86" s="128">
        <f t="shared" si="19"/>
      </c>
      <c r="E86" s="128"/>
      <c r="F86" s="42">
        <f t="shared" si="17"/>
      </c>
      <c r="G86" s="129">
        <f t="shared" si="18"/>
      </c>
      <c r="H86" s="129"/>
      <c r="I86" s="133">
        <f t="shared" si="20"/>
      </c>
      <c r="J86" s="133"/>
      <c r="K86" s="134">
        <f t="shared" si="21"/>
      </c>
      <c r="L86" s="135"/>
      <c r="M86" s="132">
        <f t="shared" si="22"/>
      </c>
      <c r="N86" s="132"/>
      <c r="O86" s="126">
        <f t="shared" si="23"/>
      </c>
      <c r="P86" s="127"/>
      <c r="Q86" s="126">
        <f t="shared" si="24"/>
      </c>
      <c r="R86" s="127"/>
      <c r="S86" s="24"/>
      <c r="T86" s="14"/>
    </row>
    <row r="87" spans="1:20" ht="12.75">
      <c r="A87" s="14"/>
      <c r="B87" s="22"/>
      <c r="C87" s="41">
        <v>43</v>
      </c>
      <c r="D87" s="128">
        <f t="shared" si="19"/>
      </c>
      <c r="E87" s="128"/>
      <c r="F87" s="42">
        <f t="shared" si="17"/>
      </c>
      <c r="G87" s="129">
        <f t="shared" si="18"/>
      </c>
      <c r="H87" s="129"/>
      <c r="I87" s="133">
        <f t="shared" si="20"/>
      </c>
      <c r="J87" s="133"/>
      <c r="K87" s="134">
        <f t="shared" si="21"/>
      </c>
      <c r="L87" s="135"/>
      <c r="M87" s="132">
        <f t="shared" si="22"/>
      </c>
      <c r="N87" s="132"/>
      <c r="O87" s="126">
        <f t="shared" si="23"/>
      </c>
      <c r="P87" s="127"/>
      <c r="Q87" s="126">
        <f t="shared" si="24"/>
      </c>
      <c r="R87" s="127"/>
      <c r="S87" s="24"/>
      <c r="T87" s="14"/>
    </row>
    <row r="88" spans="1:20" ht="12.75">
      <c r="A88" s="14"/>
      <c r="B88" s="22"/>
      <c r="C88" s="41">
        <v>44</v>
      </c>
      <c r="D88" s="128">
        <f t="shared" si="19"/>
      </c>
      <c r="E88" s="128"/>
      <c r="F88" s="42">
        <f t="shared" si="17"/>
      </c>
      <c r="G88" s="129">
        <f t="shared" si="18"/>
      </c>
      <c r="H88" s="129"/>
      <c r="I88" s="133">
        <f t="shared" si="20"/>
      </c>
      <c r="J88" s="133"/>
      <c r="K88" s="134">
        <f t="shared" si="21"/>
      </c>
      <c r="L88" s="135"/>
      <c r="M88" s="132">
        <f t="shared" si="22"/>
      </c>
      <c r="N88" s="132"/>
      <c r="O88" s="126">
        <f t="shared" si="23"/>
      </c>
      <c r="P88" s="127"/>
      <c r="Q88" s="126">
        <f t="shared" si="24"/>
      </c>
      <c r="R88" s="127"/>
      <c r="S88" s="24"/>
      <c r="T88" s="14"/>
    </row>
    <row r="89" spans="1:20" ht="12.75">
      <c r="A89" s="14"/>
      <c r="B89" s="22"/>
      <c r="C89" s="41">
        <v>45</v>
      </c>
      <c r="D89" s="128">
        <f t="shared" si="19"/>
      </c>
      <c r="E89" s="128"/>
      <c r="F89" s="42">
        <f t="shared" si="17"/>
      </c>
      <c r="G89" s="129">
        <f t="shared" si="18"/>
      </c>
      <c r="H89" s="129"/>
      <c r="I89" s="133">
        <f t="shared" si="20"/>
      </c>
      <c r="J89" s="133"/>
      <c r="K89" s="134">
        <f t="shared" si="21"/>
      </c>
      <c r="L89" s="135"/>
      <c r="M89" s="132">
        <f t="shared" si="22"/>
      </c>
      <c r="N89" s="132"/>
      <c r="O89" s="126">
        <f t="shared" si="23"/>
      </c>
      <c r="P89" s="127"/>
      <c r="Q89" s="126">
        <f t="shared" si="24"/>
      </c>
      <c r="R89" s="127"/>
      <c r="S89" s="24"/>
      <c r="T89" s="14"/>
    </row>
    <row r="90" spans="1:20" ht="12.75">
      <c r="A90" s="14"/>
      <c r="B90" s="22"/>
      <c r="C90" s="41">
        <v>46</v>
      </c>
      <c r="D90" s="128">
        <f t="shared" si="19"/>
      </c>
      <c r="E90" s="128"/>
      <c r="F90" s="42">
        <f t="shared" si="17"/>
      </c>
      <c r="G90" s="129">
        <f t="shared" si="18"/>
      </c>
      <c r="H90" s="129"/>
      <c r="I90" s="133">
        <f t="shared" si="20"/>
      </c>
      <c r="J90" s="133"/>
      <c r="K90" s="134">
        <f t="shared" si="21"/>
      </c>
      <c r="L90" s="135"/>
      <c r="M90" s="132">
        <f t="shared" si="22"/>
      </c>
      <c r="N90" s="132"/>
      <c r="O90" s="126">
        <f t="shared" si="23"/>
      </c>
      <c r="P90" s="127"/>
      <c r="Q90" s="126">
        <f t="shared" si="24"/>
      </c>
      <c r="R90" s="127"/>
      <c r="S90" s="24"/>
      <c r="T90" s="14"/>
    </row>
    <row r="91" spans="1:20" ht="12.75">
      <c r="A91" s="14"/>
      <c r="B91" s="22"/>
      <c r="C91" s="41">
        <v>47</v>
      </c>
      <c r="D91" s="128">
        <f t="shared" si="19"/>
      </c>
      <c r="E91" s="128"/>
      <c r="F91" s="42">
        <f t="shared" si="17"/>
      </c>
      <c r="G91" s="129">
        <f t="shared" si="18"/>
      </c>
      <c r="H91" s="129"/>
      <c r="I91" s="133">
        <f t="shared" si="20"/>
      </c>
      <c r="J91" s="133"/>
      <c r="K91" s="134">
        <f t="shared" si="21"/>
      </c>
      <c r="L91" s="135"/>
      <c r="M91" s="132">
        <f t="shared" si="22"/>
      </c>
      <c r="N91" s="132"/>
      <c r="O91" s="126">
        <f t="shared" si="23"/>
      </c>
      <c r="P91" s="127"/>
      <c r="Q91" s="126">
        <f t="shared" si="24"/>
      </c>
      <c r="R91" s="127"/>
      <c r="S91" s="24"/>
      <c r="T91" s="14"/>
    </row>
    <row r="92" spans="1:20" ht="12.75">
      <c r="A92" s="14"/>
      <c r="B92" s="22"/>
      <c r="C92" s="43">
        <v>48</v>
      </c>
      <c r="D92" s="137">
        <f t="shared" si="19"/>
      </c>
      <c r="E92" s="137"/>
      <c r="F92" s="44">
        <f t="shared" si="17"/>
      </c>
      <c r="G92" s="138">
        <f t="shared" si="18"/>
      </c>
      <c r="H92" s="138"/>
      <c r="I92" s="139">
        <f t="shared" si="20"/>
      </c>
      <c r="J92" s="139"/>
      <c r="K92" s="140">
        <f t="shared" si="21"/>
      </c>
      <c r="L92" s="141"/>
      <c r="M92" s="142">
        <f t="shared" si="22"/>
      </c>
      <c r="N92" s="142"/>
      <c r="O92" s="142">
        <f t="shared" si="23"/>
      </c>
      <c r="P92" s="142"/>
      <c r="Q92" s="142">
        <f t="shared" si="24"/>
      </c>
      <c r="R92" s="142"/>
      <c r="S92" s="24"/>
      <c r="T92" s="14"/>
    </row>
    <row r="93" spans="1:20" ht="12.75">
      <c r="A93" s="14"/>
      <c r="B93" s="22"/>
      <c r="C93" s="25"/>
      <c r="D93" s="23"/>
      <c r="E93" s="23"/>
      <c r="F93" s="26"/>
      <c r="G93" s="23"/>
      <c r="H93" s="23"/>
      <c r="I93" s="23"/>
      <c r="J93" s="23"/>
      <c r="K93" s="23"/>
      <c r="L93" s="45"/>
      <c r="M93" s="45"/>
      <c r="N93" s="45"/>
      <c r="O93" s="45"/>
      <c r="P93" s="46"/>
      <c r="Q93" s="46"/>
      <c r="R93" s="23"/>
      <c r="S93" s="24"/>
      <c r="T93" s="14"/>
    </row>
    <row r="94" spans="1:20" ht="12.75">
      <c r="A94" s="14"/>
      <c r="B94" s="22"/>
      <c r="C94" s="25"/>
      <c r="D94" s="23"/>
      <c r="E94" s="23"/>
      <c r="F94" s="26"/>
      <c r="G94" s="23"/>
      <c r="H94" s="23"/>
      <c r="I94" s="23"/>
      <c r="J94" s="23"/>
      <c r="K94" s="23"/>
      <c r="L94" s="45"/>
      <c r="M94" s="45"/>
      <c r="N94" s="45"/>
      <c r="O94" s="45"/>
      <c r="P94" s="46"/>
      <c r="Q94" s="46"/>
      <c r="R94" s="23"/>
      <c r="S94" s="24"/>
      <c r="T94" s="14"/>
    </row>
    <row r="95" spans="1:20" ht="12.75">
      <c r="A95" s="14"/>
      <c r="B95" s="47"/>
      <c r="C95" s="31"/>
      <c r="D95" s="32"/>
      <c r="E95" s="32"/>
      <c r="F95" s="33"/>
      <c r="G95" s="32"/>
      <c r="H95" s="32"/>
      <c r="I95" s="32"/>
      <c r="J95" s="32"/>
      <c r="K95" s="32"/>
      <c r="L95" s="32"/>
      <c r="M95" s="32"/>
      <c r="N95" s="32"/>
      <c r="O95" s="32"/>
      <c r="P95" s="48"/>
      <c r="Q95" s="48"/>
      <c r="R95" s="32"/>
      <c r="S95" s="34"/>
      <c r="T95" s="14"/>
    </row>
    <row r="96" spans="1:20" ht="12.75">
      <c r="A96" s="14"/>
      <c r="B96" s="14"/>
      <c r="C96" s="15"/>
      <c r="D96" s="14"/>
      <c r="E96" s="14"/>
      <c r="F96" s="16"/>
      <c r="G96" s="14"/>
      <c r="H96" s="14"/>
      <c r="I96" s="14"/>
      <c r="J96" s="14"/>
      <c r="K96" s="14"/>
      <c r="L96" s="14"/>
      <c r="M96" s="14"/>
      <c r="N96" s="14"/>
      <c r="O96" s="14"/>
      <c r="P96" s="49"/>
      <c r="Q96" s="49"/>
      <c r="R96" s="14"/>
      <c r="S96" s="14"/>
      <c r="T96" s="14"/>
    </row>
    <row r="97" spans="1:20" ht="12.75" hidden="1">
      <c r="A97" s="14"/>
      <c r="B97" s="14"/>
      <c r="C97" s="15"/>
      <c r="D97" s="14"/>
      <c r="E97" s="14"/>
      <c r="F97" s="16"/>
      <c r="G97" s="14"/>
      <c r="H97" s="14"/>
      <c r="I97" s="14"/>
      <c r="J97" s="14"/>
      <c r="K97" s="14"/>
      <c r="L97" s="14"/>
      <c r="M97" s="14"/>
      <c r="N97" s="14"/>
      <c r="O97" s="14"/>
      <c r="P97" s="49"/>
      <c r="Q97" s="49"/>
      <c r="R97" s="14"/>
      <c r="S97" s="14"/>
      <c r="T97" s="14"/>
    </row>
    <row r="98" spans="1:20" ht="12.75" hidden="1">
      <c r="A98" s="14"/>
      <c r="B98" s="14"/>
      <c r="C98" s="15"/>
      <c r="D98" s="14"/>
      <c r="E98" s="14"/>
      <c r="F98" s="16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2.75" hidden="1">
      <c r="A99" s="14"/>
      <c r="B99" s="14"/>
      <c r="C99" s="15"/>
      <c r="D99" s="14"/>
      <c r="E99" s="14"/>
      <c r="F99" s="1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</sheetData>
  <sheetProtection/>
  <mergeCells count="372">
    <mergeCell ref="AU5:BA6"/>
    <mergeCell ref="Q91:R91"/>
    <mergeCell ref="D92:E92"/>
    <mergeCell ref="G92:H92"/>
    <mergeCell ref="I92:J92"/>
    <mergeCell ref="K92:L92"/>
    <mergeCell ref="M92:N92"/>
    <mergeCell ref="O92:P92"/>
    <mergeCell ref="Q92:R92"/>
    <mergeCell ref="D91:E91"/>
    <mergeCell ref="G91:H91"/>
    <mergeCell ref="I91:J91"/>
    <mergeCell ref="K91:L91"/>
    <mergeCell ref="M91:N91"/>
    <mergeCell ref="O91:P91"/>
    <mergeCell ref="Q89:R89"/>
    <mergeCell ref="Q90:R90"/>
    <mergeCell ref="D90:E90"/>
    <mergeCell ref="G90:H90"/>
    <mergeCell ref="I90:J90"/>
    <mergeCell ref="K90:L90"/>
    <mergeCell ref="M90:N90"/>
    <mergeCell ref="O90:P90"/>
    <mergeCell ref="D89:E89"/>
    <mergeCell ref="G89:H89"/>
    <mergeCell ref="I89:J89"/>
    <mergeCell ref="K89:L89"/>
    <mergeCell ref="M89:N89"/>
    <mergeCell ref="O89:P89"/>
    <mergeCell ref="Q87:R87"/>
    <mergeCell ref="D88:E88"/>
    <mergeCell ref="G88:H88"/>
    <mergeCell ref="I88:J88"/>
    <mergeCell ref="K88:L88"/>
    <mergeCell ref="M88:N88"/>
    <mergeCell ref="O88:P88"/>
    <mergeCell ref="Q88:R88"/>
    <mergeCell ref="D87:E87"/>
    <mergeCell ref="G87:H87"/>
    <mergeCell ref="I87:J87"/>
    <mergeCell ref="K87:L87"/>
    <mergeCell ref="M87:N87"/>
    <mergeCell ref="O87:P87"/>
    <mergeCell ref="Q85:R85"/>
    <mergeCell ref="D86:E86"/>
    <mergeCell ref="G86:H86"/>
    <mergeCell ref="I86:J86"/>
    <mergeCell ref="K86:L86"/>
    <mergeCell ref="M86:N86"/>
    <mergeCell ref="O86:P86"/>
    <mergeCell ref="Q86:R86"/>
    <mergeCell ref="D85:E85"/>
    <mergeCell ref="G85:H85"/>
    <mergeCell ref="I85:J85"/>
    <mergeCell ref="K85:L85"/>
    <mergeCell ref="M85:N85"/>
    <mergeCell ref="O85:P85"/>
    <mergeCell ref="Q83:R83"/>
    <mergeCell ref="D84:E84"/>
    <mergeCell ref="G84:H84"/>
    <mergeCell ref="I84:J84"/>
    <mergeCell ref="K84:L84"/>
    <mergeCell ref="M84:N84"/>
    <mergeCell ref="O84:P84"/>
    <mergeCell ref="Q84:R84"/>
    <mergeCell ref="D83:E83"/>
    <mergeCell ref="G83:H83"/>
    <mergeCell ref="I83:J83"/>
    <mergeCell ref="K83:L83"/>
    <mergeCell ref="M83:N83"/>
    <mergeCell ref="O83:P83"/>
    <mergeCell ref="Q81:R81"/>
    <mergeCell ref="D82:E82"/>
    <mergeCell ref="G82:H82"/>
    <mergeCell ref="I82:J82"/>
    <mergeCell ref="K82:L82"/>
    <mergeCell ref="M82:N82"/>
    <mergeCell ref="O82:P82"/>
    <mergeCell ref="Q82:R82"/>
    <mergeCell ref="D81:E81"/>
    <mergeCell ref="G81:H81"/>
    <mergeCell ref="I81:J81"/>
    <mergeCell ref="K81:L81"/>
    <mergeCell ref="M81:N81"/>
    <mergeCell ref="O81:P81"/>
    <mergeCell ref="Q79:R79"/>
    <mergeCell ref="D80:E80"/>
    <mergeCell ref="G80:H80"/>
    <mergeCell ref="I80:J80"/>
    <mergeCell ref="K80:L80"/>
    <mergeCell ref="M80:N80"/>
    <mergeCell ref="O80:P80"/>
    <mergeCell ref="Q80:R80"/>
    <mergeCell ref="D79:E79"/>
    <mergeCell ref="G79:H79"/>
    <mergeCell ref="I79:J79"/>
    <mergeCell ref="K79:L79"/>
    <mergeCell ref="M79:N79"/>
    <mergeCell ref="O79:P79"/>
    <mergeCell ref="Q77:R77"/>
    <mergeCell ref="D78:E78"/>
    <mergeCell ref="G78:H78"/>
    <mergeCell ref="I78:J78"/>
    <mergeCell ref="K78:L78"/>
    <mergeCell ref="M78:N78"/>
    <mergeCell ref="O78:P78"/>
    <mergeCell ref="Q78:R78"/>
    <mergeCell ref="D77:E77"/>
    <mergeCell ref="G77:H77"/>
    <mergeCell ref="I77:J77"/>
    <mergeCell ref="K77:L77"/>
    <mergeCell ref="M77:N77"/>
    <mergeCell ref="O77:P77"/>
    <mergeCell ref="Q75:R75"/>
    <mergeCell ref="D76:E76"/>
    <mergeCell ref="G76:H76"/>
    <mergeCell ref="I76:J76"/>
    <mergeCell ref="K76:L76"/>
    <mergeCell ref="M76:N76"/>
    <mergeCell ref="O76:P76"/>
    <mergeCell ref="Q76:R76"/>
    <mergeCell ref="D75:E75"/>
    <mergeCell ref="G75:H75"/>
    <mergeCell ref="I75:J75"/>
    <mergeCell ref="K75:L75"/>
    <mergeCell ref="M75:N75"/>
    <mergeCell ref="O75:P75"/>
    <mergeCell ref="Q73:R73"/>
    <mergeCell ref="D74:E74"/>
    <mergeCell ref="G74:H74"/>
    <mergeCell ref="I74:J74"/>
    <mergeCell ref="K74:L74"/>
    <mergeCell ref="M74:N74"/>
    <mergeCell ref="O74:P74"/>
    <mergeCell ref="Q74:R74"/>
    <mergeCell ref="D73:E73"/>
    <mergeCell ref="G73:H73"/>
    <mergeCell ref="I73:J73"/>
    <mergeCell ref="K73:L73"/>
    <mergeCell ref="M73:N73"/>
    <mergeCell ref="O73:P73"/>
    <mergeCell ref="Q71:R71"/>
    <mergeCell ref="D72:E72"/>
    <mergeCell ref="G72:H72"/>
    <mergeCell ref="I72:J72"/>
    <mergeCell ref="K72:L72"/>
    <mergeCell ref="M72:N72"/>
    <mergeCell ref="O72:P72"/>
    <mergeCell ref="Q72:R72"/>
    <mergeCell ref="D71:E71"/>
    <mergeCell ref="G71:H71"/>
    <mergeCell ref="I71:J71"/>
    <mergeCell ref="K71:L71"/>
    <mergeCell ref="M71:N71"/>
    <mergeCell ref="O71:P71"/>
    <mergeCell ref="Q69:R69"/>
    <mergeCell ref="D70:E70"/>
    <mergeCell ref="G70:H70"/>
    <mergeCell ref="I70:J70"/>
    <mergeCell ref="K70:L70"/>
    <mergeCell ref="M70:N70"/>
    <mergeCell ref="O70:P70"/>
    <mergeCell ref="Q70:R70"/>
    <mergeCell ref="D69:E69"/>
    <mergeCell ref="G69:H69"/>
    <mergeCell ref="I69:J69"/>
    <mergeCell ref="K69:L69"/>
    <mergeCell ref="M69:N69"/>
    <mergeCell ref="O69:P69"/>
    <mergeCell ref="Q67:R67"/>
    <mergeCell ref="D68:E68"/>
    <mergeCell ref="G68:H68"/>
    <mergeCell ref="I68:J68"/>
    <mergeCell ref="K68:L68"/>
    <mergeCell ref="M68:N68"/>
    <mergeCell ref="O68:P68"/>
    <mergeCell ref="Q68:R68"/>
    <mergeCell ref="D67:E67"/>
    <mergeCell ref="G67:H67"/>
    <mergeCell ref="I67:J67"/>
    <mergeCell ref="K67:L67"/>
    <mergeCell ref="M67:N67"/>
    <mergeCell ref="O67:P67"/>
    <mergeCell ref="Q65:R65"/>
    <mergeCell ref="D66:E66"/>
    <mergeCell ref="G66:H66"/>
    <mergeCell ref="I66:J66"/>
    <mergeCell ref="K66:L66"/>
    <mergeCell ref="M66:N66"/>
    <mergeCell ref="O66:P66"/>
    <mergeCell ref="Q66:R66"/>
    <mergeCell ref="D65:E65"/>
    <mergeCell ref="G65:H65"/>
    <mergeCell ref="I65:J65"/>
    <mergeCell ref="K65:L65"/>
    <mergeCell ref="M65:N65"/>
    <mergeCell ref="O65:P65"/>
    <mergeCell ref="Q63:R63"/>
    <mergeCell ref="D64:E64"/>
    <mergeCell ref="G64:H64"/>
    <mergeCell ref="I64:J64"/>
    <mergeCell ref="K64:L64"/>
    <mergeCell ref="M64:N64"/>
    <mergeCell ref="O64:P64"/>
    <mergeCell ref="Q64:R64"/>
    <mergeCell ref="D63:E63"/>
    <mergeCell ref="G63:H63"/>
    <mergeCell ref="I63:J63"/>
    <mergeCell ref="K63:L63"/>
    <mergeCell ref="M63:N63"/>
    <mergeCell ref="O63:P63"/>
    <mergeCell ref="Q61:R61"/>
    <mergeCell ref="D62:E62"/>
    <mergeCell ref="G62:H62"/>
    <mergeCell ref="I62:J62"/>
    <mergeCell ref="K62:L62"/>
    <mergeCell ref="M62:N62"/>
    <mergeCell ref="O62:P62"/>
    <mergeCell ref="Q62:R62"/>
    <mergeCell ref="D61:E61"/>
    <mergeCell ref="G61:H61"/>
    <mergeCell ref="I61:J61"/>
    <mergeCell ref="K61:L61"/>
    <mergeCell ref="M61:N61"/>
    <mergeCell ref="O61:P61"/>
    <mergeCell ref="Q59:R59"/>
    <mergeCell ref="D60:E60"/>
    <mergeCell ref="G60:H60"/>
    <mergeCell ref="I60:J60"/>
    <mergeCell ref="K60:L60"/>
    <mergeCell ref="M60:N60"/>
    <mergeCell ref="O60:P60"/>
    <mergeCell ref="Q60:R60"/>
    <mergeCell ref="D59:E59"/>
    <mergeCell ref="G59:H59"/>
    <mergeCell ref="I59:J59"/>
    <mergeCell ref="K59:L59"/>
    <mergeCell ref="M59:N59"/>
    <mergeCell ref="O59:P59"/>
    <mergeCell ref="Q57:R57"/>
    <mergeCell ref="D58:E58"/>
    <mergeCell ref="G58:H58"/>
    <mergeCell ref="I58:J58"/>
    <mergeCell ref="K58:L58"/>
    <mergeCell ref="M58:N58"/>
    <mergeCell ref="O58:P58"/>
    <mergeCell ref="Q58:R58"/>
    <mergeCell ref="D57:E57"/>
    <mergeCell ref="G57:H57"/>
    <mergeCell ref="I57:J57"/>
    <mergeCell ref="K57:L57"/>
    <mergeCell ref="M57:N57"/>
    <mergeCell ref="O57:P57"/>
    <mergeCell ref="Q55:R55"/>
    <mergeCell ref="D56:E56"/>
    <mergeCell ref="G56:H56"/>
    <mergeCell ref="I56:J56"/>
    <mergeCell ref="K56:L56"/>
    <mergeCell ref="M56:N56"/>
    <mergeCell ref="O56:P56"/>
    <mergeCell ref="Q56:R56"/>
    <mergeCell ref="D55:E55"/>
    <mergeCell ref="G55:H55"/>
    <mergeCell ref="I55:J55"/>
    <mergeCell ref="K55:L55"/>
    <mergeCell ref="M55:N55"/>
    <mergeCell ref="O55:P55"/>
    <mergeCell ref="Q53:R53"/>
    <mergeCell ref="D54:E54"/>
    <mergeCell ref="G54:H54"/>
    <mergeCell ref="I54:J54"/>
    <mergeCell ref="K54:L54"/>
    <mergeCell ref="M54:N54"/>
    <mergeCell ref="O54:P54"/>
    <mergeCell ref="Q54:R54"/>
    <mergeCell ref="D53:E53"/>
    <mergeCell ref="G53:H53"/>
    <mergeCell ref="I53:J53"/>
    <mergeCell ref="K53:L53"/>
    <mergeCell ref="M53:N53"/>
    <mergeCell ref="O53:P53"/>
    <mergeCell ref="Q51:R51"/>
    <mergeCell ref="D52:E52"/>
    <mergeCell ref="G52:H52"/>
    <mergeCell ref="I52:J52"/>
    <mergeCell ref="K52:L52"/>
    <mergeCell ref="M52:N52"/>
    <mergeCell ref="O52:P52"/>
    <mergeCell ref="Q52:R52"/>
    <mergeCell ref="D51:E51"/>
    <mergeCell ref="G51:H51"/>
    <mergeCell ref="I51:J51"/>
    <mergeCell ref="K51:L51"/>
    <mergeCell ref="M51:N51"/>
    <mergeCell ref="O51:P51"/>
    <mergeCell ref="Q49:R49"/>
    <mergeCell ref="D50:E50"/>
    <mergeCell ref="G50:H50"/>
    <mergeCell ref="I50:J50"/>
    <mergeCell ref="K50:L50"/>
    <mergeCell ref="M50:N50"/>
    <mergeCell ref="O50:P50"/>
    <mergeCell ref="Q50:R50"/>
    <mergeCell ref="D49:E49"/>
    <mergeCell ref="G49:H49"/>
    <mergeCell ref="I49:J49"/>
    <mergeCell ref="K49:L49"/>
    <mergeCell ref="M49:N49"/>
    <mergeCell ref="O49:P49"/>
    <mergeCell ref="Q47:R47"/>
    <mergeCell ref="D48:E48"/>
    <mergeCell ref="G48:H48"/>
    <mergeCell ref="I48:J48"/>
    <mergeCell ref="K48:L48"/>
    <mergeCell ref="M48:N48"/>
    <mergeCell ref="O48:P48"/>
    <mergeCell ref="Q48:R48"/>
    <mergeCell ref="D47:E47"/>
    <mergeCell ref="G47:H47"/>
    <mergeCell ref="I47:J47"/>
    <mergeCell ref="K47:L47"/>
    <mergeCell ref="M47:N47"/>
    <mergeCell ref="O47:P47"/>
    <mergeCell ref="Q45:R45"/>
    <mergeCell ref="D46:E46"/>
    <mergeCell ref="G46:H46"/>
    <mergeCell ref="I46:J46"/>
    <mergeCell ref="K46:L46"/>
    <mergeCell ref="M46:N46"/>
    <mergeCell ref="O46:P46"/>
    <mergeCell ref="Q46:R46"/>
    <mergeCell ref="D45:E45"/>
    <mergeCell ref="G45:H45"/>
    <mergeCell ref="I45:J45"/>
    <mergeCell ref="K45:L45"/>
    <mergeCell ref="M45:N45"/>
    <mergeCell ref="O45:P45"/>
    <mergeCell ref="C34:F35"/>
    <mergeCell ref="G34:I35"/>
    <mergeCell ref="B41:S42"/>
    <mergeCell ref="D44:E44"/>
    <mergeCell ref="G44:H44"/>
    <mergeCell ref="I44:J44"/>
    <mergeCell ref="K44:L44"/>
    <mergeCell ref="M44:N44"/>
    <mergeCell ref="O44:P44"/>
    <mergeCell ref="Q44:R44"/>
    <mergeCell ref="L25:O27"/>
    <mergeCell ref="P25:R27"/>
    <mergeCell ref="C26:F27"/>
    <mergeCell ref="G26:I27"/>
    <mergeCell ref="C30:F32"/>
    <mergeCell ref="G30:I32"/>
    <mergeCell ref="C20:F21"/>
    <mergeCell ref="G20:I21"/>
    <mergeCell ref="L21:O23"/>
    <mergeCell ref="P21:R23"/>
    <mergeCell ref="C23:F24"/>
    <mergeCell ref="G23:I24"/>
    <mergeCell ref="C14:F15"/>
    <mergeCell ref="G14:I15"/>
    <mergeCell ref="L15:O17"/>
    <mergeCell ref="P15:R17"/>
    <mergeCell ref="C17:F18"/>
    <mergeCell ref="G17:I18"/>
    <mergeCell ref="C8:F9"/>
    <mergeCell ref="G8:I9"/>
    <mergeCell ref="C11:F12"/>
    <mergeCell ref="G11:I12"/>
    <mergeCell ref="L11:O13"/>
    <mergeCell ref="B4:P5"/>
    <mergeCell ref="P11:R13"/>
  </mergeCells>
  <dataValidations count="3">
    <dataValidation type="list" allowBlank="1" showInputMessage="1" showErrorMessage="1" sqref="G8:I9">
      <formula1>$U$8:$U$10</formula1>
    </dataValidation>
    <dataValidation type="list" allowBlank="1" showInputMessage="1" showErrorMessage="1" sqref="G14:I15">
      <formula1>$U$13:$U$19</formula1>
    </dataValidation>
    <dataValidation type="list" allowBlank="1" showInputMessage="1" showErrorMessage="1" sqref="G20:I21">
      <formula1>$X$7:$X$43</formula1>
    </dataValidation>
  </dataValidation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simulador-prestamo-efectivo-banco-ripley</dc:title>
  <dc:subject/>
  <dc:creator/>
  <cp:keywords/>
  <dc:description/>
  <cp:lastModifiedBy>Microsoft Office User</cp:lastModifiedBy>
  <cp:lastPrinted>2012-03-14T15:47:53Z</cp:lastPrinted>
  <dcterms:created xsi:type="dcterms:W3CDTF">2007-07-25T13:58:23Z</dcterms:created>
  <dcterms:modified xsi:type="dcterms:W3CDTF">2019-04-05T20:08:12Z</dcterms:modified>
  <cp:category/>
  <cp:version/>
  <cp:contentType/>
  <cp:contentStatus/>
</cp:coreProperties>
</file>